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zjs2\Box\forms\"/>
    </mc:Choice>
  </mc:AlternateContent>
  <xr:revisionPtr revIDLastSave="0" documentId="13_ncr:1_{03A2063D-728E-4038-9A71-11C671B1094B}" xr6:coauthVersionLast="47" xr6:coauthVersionMax="47" xr10:uidLastSave="{00000000-0000-0000-0000-000000000000}"/>
  <bookViews>
    <workbookView xWindow="28680" yWindow="-120" windowWidth="29040" windowHeight="17640" firstSheet="2" activeTab="2" xr2:uid="{00000000-000D-0000-FFFF-FFFF00000000}"/>
  </bookViews>
  <sheets>
    <sheet name="Conv Debt" sheetId="2" state="hidden" r:id="rId1"/>
    <sheet name="Summary investment" sheetId="3" state="hidden" r:id="rId2"/>
    <sheet name="Cap Model with Waterfall" sheetId="6" r:id="rId3"/>
    <sheet name="Convertible Deb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37" i="6" l="1"/>
  <c r="F5" i="7"/>
  <c r="L9" i="6"/>
  <c r="L10" i="6"/>
  <c r="L11" i="6"/>
  <c r="L12" i="6"/>
  <c r="L13" i="6"/>
  <c r="L14" i="6"/>
  <c r="L15" i="6"/>
  <c r="L16" i="6"/>
  <c r="L17" i="6"/>
  <c r="L18" i="6"/>
  <c r="L19" i="6"/>
  <c r="L20" i="6"/>
  <c r="L8" i="6"/>
  <c r="I30" i="6"/>
  <c r="M39" i="6" s="1"/>
  <c r="R22" i="6"/>
  <c r="R23" i="6"/>
  <c r="R21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8" i="6"/>
  <c r="R25" i="6"/>
  <c r="R26" i="6"/>
  <c r="R27" i="6"/>
  <c r="R28" i="6"/>
  <c r="R24" i="6"/>
  <c r="C30" i="6"/>
  <c r="B30" i="6"/>
  <c r="D30" i="6" l="1"/>
  <c r="B11" i="7"/>
  <c r="E9" i="7"/>
  <c r="E8" i="7"/>
  <c r="E7" i="7"/>
  <c r="E6" i="7"/>
  <c r="E5" i="7"/>
  <c r="C49" i="6"/>
  <c r="C51" i="6" s="1"/>
  <c r="E24" i="6" l="1"/>
  <c r="E15" i="6"/>
  <c r="E21" i="6"/>
  <c r="E11" i="6"/>
  <c r="E25" i="6"/>
  <c r="E26" i="6"/>
  <c r="E12" i="6"/>
  <c r="E14" i="6"/>
  <c r="E9" i="6"/>
  <c r="E16" i="6"/>
  <c r="E28" i="6"/>
  <c r="E22" i="6"/>
  <c r="E20" i="6"/>
  <c r="E13" i="6"/>
  <c r="E19" i="6"/>
  <c r="E8" i="6"/>
  <c r="E27" i="6"/>
  <c r="E18" i="6"/>
  <c r="E17" i="6"/>
  <c r="E10" i="6"/>
  <c r="E23" i="6"/>
  <c r="F7" i="7"/>
  <c r="F9" i="7"/>
  <c r="F6" i="7"/>
  <c r="F8" i="7"/>
  <c r="G5" i="7"/>
  <c r="O19" i="6"/>
  <c r="O18" i="6"/>
  <c r="O17" i="6"/>
  <c r="O16" i="6"/>
  <c r="O15" i="6"/>
  <c r="O14" i="6"/>
  <c r="O13" i="6"/>
  <c r="O12" i="6"/>
  <c r="O11" i="6"/>
  <c r="O10" i="6"/>
  <c r="O9" i="6"/>
  <c r="O8" i="6"/>
  <c r="E30" i="6" l="1"/>
  <c r="G8" i="7"/>
  <c r="H8" i="7" s="1"/>
  <c r="I8" i="7" s="1"/>
  <c r="G27" i="6" s="1"/>
  <c r="G6" i="7"/>
  <c r="G9" i="7"/>
  <c r="H9" i="7" s="1"/>
  <c r="I9" i="7" s="1"/>
  <c r="G28" i="6" s="1"/>
  <c r="G7" i="7"/>
  <c r="H7" i="7" s="1"/>
  <c r="I7" i="7" s="1"/>
  <c r="G26" i="6" s="1"/>
  <c r="H5" i="7"/>
  <c r="C38" i="6"/>
  <c r="G11" i="7" l="1"/>
  <c r="H6" i="7"/>
  <c r="I6" i="7" s="1"/>
  <c r="G25" i="6" s="1"/>
  <c r="I5" i="7"/>
  <c r="C40" i="6"/>
  <c r="P37" i="2"/>
  <c r="R37" i="2" s="1"/>
  <c r="P38" i="2"/>
  <c r="R38" i="2" s="1"/>
  <c r="P39" i="2"/>
  <c r="R39" i="2" s="1"/>
  <c r="P40" i="2"/>
  <c r="R40" i="2" s="1"/>
  <c r="P41" i="2"/>
  <c r="R41" i="2" s="1"/>
  <c r="P42" i="2"/>
  <c r="R42" i="2" s="1"/>
  <c r="P43" i="2"/>
  <c r="R43" i="2" s="1"/>
  <c r="P44" i="2"/>
  <c r="R44" i="2" s="1"/>
  <c r="P45" i="2"/>
  <c r="R45" i="2" s="1"/>
  <c r="P36" i="2"/>
  <c r="R36" i="2" s="1"/>
  <c r="P17" i="2"/>
  <c r="R17" i="2" s="1"/>
  <c r="P18" i="2"/>
  <c r="P19" i="2"/>
  <c r="P20" i="2"/>
  <c r="P21" i="2"/>
  <c r="P22" i="2"/>
  <c r="P23" i="2"/>
  <c r="P24" i="2"/>
  <c r="P25" i="2"/>
  <c r="U25" i="2" s="1"/>
  <c r="V25" i="2" s="1"/>
  <c r="P27" i="2"/>
  <c r="P28" i="2"/>
  <c r="P29" i="2"/>
  <c r="P30" i="2"/>
  <c r="P31" i="2"/>
  <c r="P32" i="2"/>
  <c r="P33" i="2"/>
  <c r="P34" i="2"/>
  <c r="R34" i="2" s="1"/>
  <c r="P35" i="2"/>
  <c r="P8" i="2"/>
  <c r="P9" i="2"/>
  <c r="P10" i="2"/>
  <c r="P11" i="2"/>
  <c r="P12" i="2"/>
  <c r="P13" i="2"/>
  <c r="P14" i="2"/>
  <c r="U14" i="2" s="1"/>
  <c r="P15" i="2"/>
  <c r="P16" i="2"/>
  <c r="P7" i="2"/>
  <c r="E3" i="2"/>
  <c r="L14" i="2" s="1"/>
  <c r="N14" i="2" s="1"/>
  <c r="L52" i="2"/>
  <c r="R24" i="2" s="1"/>
  <c r="T24" i="2" s="1"/>
  <c r="W24" i="2" s="1"/>
  <c r="X24" i="2" s="1"/>
  <c r="R22" i="2"/>
  <c r="L32" i="2"/>
  <c r="X26" i="2"/>
  <c r="E47" i="2"/>
  <c r="U22" i="2"/>
  <c r="U37" i="2"/>
  <c r="U30" i="2"/>
  <c r="U43" i="2"/>
  <c r="U32" i="2"/>
  <c r="U41" i="2"/>
  <c r="U31" i="2"/>
  <c r="U36" i="2"/>
  <c r="U21" i="2"/>
  <c r="U45" i="2"/>
  <c r="U12" i="2"/>
  <c r="U38" i="2"/>
  <c r="U15" i="2"/>
  <c r="U28" i="2"/>
  <c r="U13" i="2"/>
  <c r="U20" i="2"/>
  <c r="U23" i="2"/>
  <c r="U18" i="2"/>
  <c r="U7" i="2"/>
  <c r="U10" i="2"/>
  <c r="U40" i="2"/>
  <c r="U24" i="2"/>
  <c r="V24" i="2" s="1"/>
  <c r="U8" i="2"/>
  <c r="U42" i="2"/>
  <c r="U11" i="2"/>
  <c r="L34" i="2"/>
  <c r="N34" i="2" s="1"/>
  <c r="U33" i="2"/>
  <c r="U27" i="2"/>
  <c r="U35" i="2"/>
  <c r="U29" i="2"/>
  <c r="U19" i="2"/>
  <c r="U16" i="2"/>
  <c r="U9" i="2"/>
  <c r="U44" i="2"/>
  <c r="L37" i="2"/>
  <c r="N37" i="2"/>
  <c r="V37" i="2" s="1"/>
  <c r="L23" i="2"/>
  <c r="L15" i="2"/>
  <c r="N15" i="2" s="1"/>
  <c r="L25" i="2"/>
  <c r="L41" i="2"/>
  <c r="N41" i="2" s="1"/>
  <c r="L20" i="2"/>
  <c r="N20" i="2"/>
  <c r="R8" i="2"/>
  <c r="R10" i="2"/>
  <c r="R12" i="2"/>
  <c r="R33" i="2"/>
  <c r="R35" i="2"/>
  <c r="R9" i="2"/>
  <c r="R13" i="2"/>
  <c r="R19" i="2"/>
  <c r="T19" i="2" s="1"/>
  <c r="W19" i="2" s="1"/>
  <c r="X19" i="2" s="1"/>
  <c r="L17" i="2"/>
  <c r="N17" i="2" s="1"/>
  <c r="L39" i="2"/>
  <c r="N39" i="2"/>
  <c r="R32" i="2"/>
  <c r="R30" i="2"/>
  <c r="L28" i="2"/>
  <c r="N28" i="2"/>
  <c r="R23" i="2"/>
  <c r="R21" i="2"/>
  <c r="L19" i="2"/>
  <c r="L16" i="2"/>
  <c r="N16" i="2" s="1"/>
  <c r="R11" i="2"/>
  <c r="L21" i="2"/>
  <c r="L35" i="2"/>
  <c r="N35" i="2" s="1"/>
  <c r="R29" i="2"/>
  <c r="R27" i="2"/>
  <c r="R20" i="2"/>
  <c r="T20" i="2"/>
  <c r="W20" i="2" s="1"/>
  <c r="R18" i="2"/>
  <c r="R15" i="2"/>
  <c r="N32" i="2"/>
  <c r="V32" i="2" s="1"/>
  <c r="N23" i="2"/>
  <c r="R7" i="2"/>
  <c r="L9" i="2"/>
  <c r="N9" i="2" s="1"/>
  <c r="L7" i="2"/>
  <c r="N7" i="2" s="1"/>
  <c r="L8" i="2"/>
  <c r="L12" i="2"/>
  <c r="N12" i="2" s="1"/>
  <c r="L18" i="2"/>
  <c r="N18" i="2" s="1"/>
  <c r="L22" i="2"/>
  <c r="L24" i="2"/>
  <c r="L27" i="2"/>
  <c r="L31" i="2"/>
  <c r="N31" i="2" s="1"/>
  <c r="L33" i="2"/>
  <c r="L38" i="2"/>
  <c r="N38" i="2" s="1"/>
  <c r="L43" i="2"/>
  <c r="N43" i="2" s="1"/>
  <c r="L42" i="2"/>
  <c r="N42" i="2" s="1"/>
  <c r="L13" i="2"/>
  <c r="N13" i="2" s="1"/>
  <c r="L26" i="2"/>
  <c r="L11" i="2"/>
  <c r="N11" i="2" s="1"/>
  <c r="L36" i="2"/>
  <c r="N36" i="2" s="1"/>
  <c r="V36" i="2" s="1"/>
  <c r="L40" i="2"/>
  <c r="L44" i="2"/>
  <c r="N44" i="2" s="1"/>
  <c r="L30" i="2"/>
  <c r="N30" i="2" s="1"/>
  <c r="N25" i="2"/>
  <c r="N21" i="2"/>
  <c r="T21" i="2" s="1"/>
  <c r="W21" i="2" s="1"/>
  <c r="N27" i="2"/>
  <c r="T27" i="2" s="1"/>
  <c r="W27" i="2" s="1"/>
  <c r="N26" i="2"/>
  <c r="T26" i="2"/>
  <c r="E60" i="2"/>
  <c r="N24" i="2"/>
  <c r="N8" i="2"/>
  <c r="T23" i="2"/>
  <c r="W23" i="2"/>
  <c r="X23" i="2" s="1"/>
  <c r="V23" i="2"/>
  <c r="N40" i="2"/>
  <c r="T40" i="2" s="1"/>
  <c r="W40" i="2" s="1"/>
  <c r="N33" i="2"/>
  <c r="N22" i="2"/>
  <c r="V22" i="2" s="1"/>
  <c r="L47" i="2"/>
  <c r="T32" i="2"/>
  <c r="W32" i="2" s="1"/>
  <c r="X32" i="2" s="1"/>
  <c r="N19" i="2"/>
  <c r="T22" i="2"/>
  <c r="W22" i="2" s="1"/>
  <c r="X22" i="2" s="1"/>
  <c r="V21" i="2"/>
  <c r="V19" i="2"/>
  <c r="V33" i="2"/>
  <c r="T8" i="2"/>
  <c r="W8" i="2" s="1"/>
  <c r="X8" i="2" s="1"/>
  <c r="V8" i="2"/>
  <c r="C29" i="3"/>
  <c r="C28" i="3"/>
  <c r="C32" i="3"/>
  <c r="C31" i="3"/>
  <c r="C30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3" i="3"/>
  <c r="C4" i="3"/>
  <c r="G10" i="3"/>
  <c r="E28" i="3"/>
  <c r="E27" i="3"/>
  <c r="E13" i="3"/>
  <c r="E31" i="3"/>
  <c r="E10" i="3"/>
  <c r="E19" i="3"/>
  <c r="E30" i="3"/>
  <c r="E24" i="3"/>
  <c r="E17" i="3"/>
  <c r="E15" i="3"/>
  <c r="E16" i="3"/>
  <c r="E21" i="3"/>
  <c r="E11" i="3"/>
  <c r="E23" i="3"/>
  <c r="E18" i="3"/>
  <c r="E12" i="3"/>
  <c r="G31" i="3"/>
  <c r="I31" i="3" s="1"/>
  <c r="E29" i="3"/>
  <c r="I10" i="3"/>
  <c r="M10" i="3" s="1"/>
  <c r="E14" i="3"/>
  <c r="E32" i="3"/>
  <c r="G13" i="3"/>
  <c r="E9" i="3"/>
  <c r="G30" i="3"/>
  <c r="I30" i="3" s="1"/>
  <c r="M30" i="3" s="1"/>
  <c r="G14" i="3"/>
  <c r="I13" i="3"/>
  <c r="M13" i="3" s="1"/>
  <c r="G11" i="3"/>
  <c r="I11" i="3" s="1"/>
  <c r="M11" i="3" s="1"/>
  <c r="G16" i="3"/>
  <c r="I16" i="3" s="1"/>
  <c r="M16" i="3" s="1"/>
  <c r="G32" i="3"/>
  <c r="G12" i="3"/>
  <c r="I14" i="3"/>
  <c r="M14" i="3" s="1"/>
  <c r="I12" i="3"/>
  <c r="M12" i="3" s="1"/>
  <c r="I32" i="3"/>
  <c r="M32" i="3" s="1"/>
  <c r="I11" i="7" l="1"/>
  <c r="E3" i="6" s="1"/>
  <c r="G24" i="6"/>
  <c r="G30" i="6" s="1"/>
  <c r="M37" i="6" s="1"/>
  <c r="H11" i="7"/>
  <c r="T42" i="2"/>
  <c r="W42" i="2" s="1"/>
  <c r="G17" i="3"/>
  <c r="V18" i="2"/>
  <c r="T18" i="2"/>
  <c r="W18" i="2" s="1"/>
  <c r="X18" i="2" s="1"/>
  <c r="G7" i="3"/>
  <c r="G19" i="3"/>
  <c r="V15" i="2"/>
  <c r="M31" i="3"/>
  <c r="K31" i="3"/>
  <c r="V11" i="2"/>
  <c r="T11" i="2"/>
  <c r="W11" i="2" s="1"/>
  <c r="X11" i="2" s="1"/>
  <c r="T28" i="2"/>
  <c r="W28" i="2" s="1"/>
  <c r="G15" i="3"/>
  <c r="V9" i="2"/>
  <c r="K13" i="3"/>
  <c r="R14" i="2"/>
  <c r="V20" i="2"/>
  <c r="X20" i="2" s="1"/>
  <c r="U17" i="2"/>
  <c r="R16" i="2"/>
  <c r="T16" i="2" s="1"/>
  <c r="W16" i="2" s="1"/>
  <c r="T36" i="2"/>
  <c r="E7" i="3"/>
  <c r="E34" i="3" s="1"/>
  <c r="X21" i="2"/>
  <c r="T15" i="2"/>
  <c r="W15" i="2" s="1"/>
  <c r="X15" i="2" s="1"/>
  <c r="R31" i="2"/>
  <c r="T31" i="2" s="1"/>
  <c r="W31" i="2" s="1"/>
  <c r="E25" i="3"/>
  <c r="C34" i="3"/>
  <c r="V27" i="2"/>
  <c r="X27" i="2" s="1"/>
  <c r="T9" i="2"/>
  <c r="W9" i="2" s="1"/>
  <c r="X9" i="2" s="1"/>
  <c r="U34" i="2"/>
  <c r="V34" i="2" s="1"/>
  <c r="K12" i="3"/>
  <c r="V28" i="2"/>
  <c r="T39" i="2"/>
  <c r="W39" i="2" s="1"/>
  <c r="U39" i="2"/>
  <c r="V39" i="2" s="1"/>
  <c r="R25" i="2"/>
  <c r="T25" i="2" s="1"/>
  <c r="W25" i="2" s="1"/>
  <c r="X25" i="2" s="1"/>
  <c r="K32" i="3"/>
  <c r="T33" i="2"/>
  <c r="W33" i="2" s="1"/>
  <c r="X33" i="2" s="1"/>
  <c r="L29" i="2"/>
  <c r="E26" i="3"/>
  <c r="K10" i="3"/>
  <c r="R28" i="2"/>
  <c r="K14" i="3"/>
  <c r="G28" i="3"/>
  <c r="T30" i="2"/>
  <c r="W30" i="2" s="1"/>
  <c r="V30" i="2"/>
  <c r="T38" i="2"/>
  <c r="W38" i="2" s="1"/>
  <c r="V38" i="2"/>
  <c r="G18" i="3"/>
  <c r="V12" i="2"/>
  <c r="T12" i="2"/>
  <c r="W12" i="2" s="1"/>
  <c r="G23" i="3"/>
  <c r="N47" i="2"/>
  <c r="T7" i="2"/>
  <c r="V7" i="2"/>
  <c r="V41" i="2"/>
  <c r="G27" i="3"/>
  <c r="T41" i="2"/>
  <c r="W41" i="2" s="1"/>
  <c r="X41" i="2" s="1"/>
  <c r="W36" i="2"/>
  <c r="X36" i="2" s="1"/>
  <c r="E61" i="2"/>
  <c r="T44" i="2"/>
  <c r="W44" i="2" s="1"/>
  <c r="X44" i="2" s="1"/>
  <c r="V44" i="2"/>
  <c r="G9" i="3"/>
  <c r="T13" i="2"/>
  <c r="W13" i="2" s="1"/>
  <c r="G24" i="3"/>
  <c r="V13" i="2"/>
  <c r="T43" i="2"/>
  <c r="W43" i="2" s="1"/>
  <c r="V43" i="2"/>
  <c r="G26" i="3"/>
  <c r="G25" i="3"/>
  <c r="T35" i="2"/>
  <c r="W35" i="2" s="1"/>
  <c r="V35" i="2"/>
  <c r="G21" i="3"/>
  <c r="V16" i="2"/>
  <c r="V17" i="2"/>
  <c r="T17" i="2"/>
  <c r="G29" i="3"/>
  <c r="V14" i="2"/>
  <c r="T14" i="2"/>
  <c r="W14" i="2" s="1"/>
  <c r="K11" i="3"/>
  <c r="K16" i="3"/>
  <c r="K30" i="3"/>
  <c r="V42" i="2"/>
  <c r="X42" i="2" s="1"/>
  <c r="V40" i="2"/>
  <c r="X40" i="2" s="1"/>
  <c r="V31" i="2"/>
  <c r="T34" i="2"/>
  <c r="W34" i="2" s="1"/>
  <c r="T37" i="2"/>
  <c r="W37" i="2" s="1"/>
  <c r="X37" i="2" s="1"/>
  <c r="L45" i="2"/>
  <c r="L10" i="2"/>
  <c r="E4" i="6" l="1"/>
  <c r="G31" i="6"/>
  <c r="N29" i="2"/>
  <c r="E8" i="3"/>
  <c r="X31" i="2"/>
  <c r="X35" i="2"/>
  <c r="I15" i="3"/>
  <c r="M15" i="3" s="1"/>
  <c r="K15" i="3"/>
  <c r="X28" i="2"/>
  <c r="X38" i="2"/>
  <c r="I7" i="3"/>
  <c r="G34" i="3"/>
  <c r="X34" i="2"/>
  <c r="I19" i="3"/>
  <c r="M19" i="3" s="1"/>
  <c r="X43" i="2"/>
  <c r="X39" i="2"/>
  <c r="K17" i="3"/>
  <c r="I17" i="3"/>
  <c r="M17" i="3" s="1"/>
  <c r="I28" i="3"/>
  <c r="M28" i="3" s="1"/>
  <c r="X30" i="2"/>
  <c r="N45" i="2"/>
  <c r="E22" i="3"/>
  <c r="X14" i="2"/>
  <c r="I29" i="3"/>
  <c r="M29" i="3" s="1"/>
  <c r="K29" i="3"/>
  <c r="X16" i="2"/>
  <c r="K25" i="3"/>
  <c r="I25" i="3"/>
  <c r="M25" i="3" s="1"/>
  <c r="X13" i="2"/>
  <c r="X12" i="2"/>
  <c r="E20" i="3"/>
  <c r="N10" i="2"/>
  <c r="W17" i="2"/>
  <c r="X17" i="2" s="1"/>
  <c r="E59" i="2"/>
  <c r="I21" i="3"/>
  <c r="M21" i="3" s="1"/>
  <c r="I26" i="3"/>
  <c r="M26" i="3" s="1"/>
  <c r="I24" i="3"/>
  <c r="M24" i="3" s="1"/>
  <c r="I9" i="3"/>
  <c r="M9" i="3" s="1"/>
  <c r="I27" i="3"/>
  <c r="M27" i="3" s="1"/>
  <c r="W7" i="2"/>
  <c r="X7" i="2" s="1"/>
  <c r="E58" i="2"/>
  <c r="E62" i="2" s="1"/>
  <c r="T47" i="2"/>
  <c r="I23" i="3"/>
  <c r="M23" i="3" s="1"/>
  <c r="I18" i="3"/>
  <c r="M18" i="3" s="1"/>
  <c r="E5" i="6" l="1"/>
  <c r="G5" i="6" s="1"/>
  <c r="M36" i="6"/>
  <c r="M38" i="6" s="1"/>
  <c r="K19" i="3"/>
  <c r="K18" i="3"/>
  <c r="K23" i="3"/>
  <c r="K28" i="3"/>
  <c r="K7" i="3"/>
  <c r="K34" i="3" s="1"/>
  <c r="M7" i="3"/>
  <c r="I34" i="3"/>
  <c r="V29" i="2"/>
  <c r="T29" i="2"/>
  <c r="W29" i="2" s="1"/>
  <c r="G8" i="3"/>
  <c r="I8" i="3" s="1"/>
  <c r="M8" i="3" s="1"/>
  <c r="K27" i="3"/>
  <c r="K9" i="3"/>
  <c r="K24" i="3"/>
  <c r="K26" i="3"/>
  <c r="K21" i="3"/>
  <c r="V10" i="2"/>
  <c r="T10" i="2"/>
  <c r="W10" i="2" s="1"/>
  <c r="X10" i="2" s="1"/>
  <c r="G20" i="3"/>
  <c r="T45" i="2"/>
  <c r="W45" i="2" s="1"/>
  <c r="V45" i="2"/>
  <c r="G22" i="3"/>
  <c r="J1" i="6" l="1"/>
  <c r="H25" i="6"/>
  <c r="H24" i="6"/>
  <c r="H26" i="6"/>
  <c r="J24" i="6"/>
  <c r="H28" i="6"/>
  <c r="J22" i="6"/>
  <c r="J23" i="6"/>
  <c r="J21" i="6"/>
  <c r="H27" i="6"/>
  <c r="K8" i="3"/>
  <c r="X29" i="2"/>
  <c r="I22" i="3"/>
  <c r="M22" i="3" s="1"/>
  <c r="X45" i="2"/>
  <c r="I20" i="3"/>
  <c r="M20" i="3" s="1"/>
  <c r="K24" i="6" l="1"/>
  <c r="K22" i="6"/>
  <c r="L22" i="6"/>
  <c r="K28" i="6"/>
  <c r="L28" i="6"/>
  <c r="K26" i="6"/>
  <c r="L26" i="6"/>
  <c r="L24" i="6"/>
  <c r="H30" i="6"/>
  <c r="K23" i="6"/>
  <c r="L23" i="6"/>
  <c r="O24" i="6"/>
  <c r="L27" i="6"/>
  <c r="K27" i="6"/>
  <c r="K25" i="6"/>
  <c r="L25" i="6"/>
  <c r="J30" i="6"/>
  <c r="K21" i="6"/>
  <c r="L21" i="6"/>
  <c r="R18" i="6"/>
  <c r="R16" i="6"/>
  <c r="R14" i="6"/>
  <c r="R19" i="6"/>
  <c r="R17" i="6"/>
  <c r="R15" i="6"/>
  <c r="K22" i="3"/>
  <c r="K20" i="3"/>
  <c r="L31" i="6" l="1"/>
  <c r="O25" i="6"/>
  <c r="O26" i="6"/>
  <c r="O27" i="6"/>
  <c r="O28" i="6"/>
  <c r="K30" i="6"/>
  <c r="O21" i="6"/>
  <c r="R30" i="6"/>
  <c r="O23" i="6"/>
  <c r="O22" i="6"/>
  <c r="C41" i="6" l="1"/>
  <c r="C42" i="6" s="1"/>
  <c r="O30" i="6"/>
  <c r="P27" i="6" l="1"/>
  <c r="P8" i="6"/>
  <c r="P17" i="6"/>
  <c r="P19" i="6"/>
  <c r="P18" i="6"/>
  <c r="P12" i="6"/>
  <c r="P15" i="6"/>
  <c r="P10" i="6"/>
  <c r="P16" i="6"/>
  <c r="P13" i="6"/>
  <c r="P24" i="6"/>
  <c r="P21" i="6"/>
  <c r="P26" i="6"/>
  <c r="P14" i="6"/>
  <c r="P9" i="6"/>
  <c r="P11" i="6"/>
  <c r="P28" i="6"/>
  <c r="P25" i="6"/>
  <c r="P22" i="6"/>
  <c r="P23" i="6"/>
  <c r="P30" i="6" l="1"/>
  <c r="L30" i="6"/>
  <c r="E38" i="6" s="1"/>
  <c r="C52" i="6" l="1"/>
  <c r="C43" i="6"/>
  <c r="M9" i="6"/>
  <c r="M17" i="6"/>
  <c r="M10" i="6"/>
  <c r="M18" i="6"/>
  <c r="M11" i="6"/>
  <c r="M19" i="6"/>
  <c r="M12" i="6"/>
  <c r="M20" i="6"/>
  <c r="M13" i="6"/>
  <c r="M8" i="6"/>
  <c r="M14" i="6"/>
  <c r="M15" i="6"/>
  <c r="M16" i="6"/>
  <c r="M24" i="6"/>
  <c r="M28" i="6"/>
  <c r="M23" i="6"/>
  <c r="M27" i="6"/>
  <c r="M21" i="6"/>
  <c r="M25" i="6"/>
  <c r="M26" i="6"/>
  <c r="M22" i="6"/>
  <c r="S16" i="6" l="1"/>
  <c r="S9" i="6"/>
  <c r="S17" i="6"/>
  <c r="S10" i="6"/>
  <c r="S18" i="6"/>
  <c r="S11" i="6"/>
  <c r="S19" i="6"/>
  <c r="S12" i="6"/>
  <c r="S20" i="6"/>
  <c r="S13" i="6"/>
  <c r="S8" i="6"/>
  <c r="S14" i="6"/>
  <c r="S15" i="6"/>
  <c r="S24" i="6"/>
  <c r="S27" i="6"/>
  <c r="S28" i="6"/>
  <c r="S25" i="6"/>
  <c r="S26" i="6"/>
  <c r="S23" i="6"/>
  <c r="S21" i="6"/>
  <c r="S22" i="6"/>
  <c r="T12" i="6"/>
  <c r="T13" i="6"/>
  <c r="T8" i="6"/>
  <c r="T14" i="6"/>
  <c r="T15" i="6"/>
  <c r="T11" i="6"/>
  <c r="T16" i="6"/>
  <c r="T9" i="6"/>
  <c r="T17" i="6"/>
  <c r="T10" i="6"/>
  <c r="T18" i="6"/>
  <c r="T19" i="6"/>
  <c r="T20" i="6"/>
  <c r="T25" i="6"/>
  <c r="T22" i="6"/>
  <c r="T23" i="6"/>
  <c r="T26" i="6"/>
  <c r="T27" i="6"/>
  <c r="T24" i="6"/>
  <c r="T21" i="6"/>
  <c r="T28" i="6"/>
  <c r="M30" i="6"/>
  <c r="T30" i="6" l="1"/>
  <c r="S30" i="6"/>
</calcChain>
</file>

<file path=xl/sharedStrings.xml><?xml version="1.0" encoding="utf-8"?>
<sst xmlns="http://schemas.openxmlformats.org/spreadsheetml/2006/main" count="221" uniqueCount="150">
  <si>
    <t>* Denotes Restricted Stock</t>
    <phoneticPr fontId="11" type="noConversion"/>
  </si>
  <si>
    <t>Totals:</t>
    <phoneticPr fontId="11" type="noConversion"/>
  </si>
  <si>
    <t>Total Shares</t>
    <phoneticPr fontId="11" type="noConversion"/>
  </si>
  <si>
    <t>Total % as Converted</t>
    <phoneticPr fontId="11" type="noConversion"/>
  </si>
  <si>
    <t>PS Only Shares</t>
    <phoneticPr fontId="11" type="noConversion"/>
  </si>
  <si>
    <t>PS Only % Vote</t>
    <phoneticPr fontId="11" type="noConversion"/>
  </si>
  <si>
    <t>Exit Value:</t>
  </si>
  <si>
    <t>Transaction Expenses:</t>
  </si>
  <si>
    <t>Advisory Fees:</t>
  </si>
  <si>
    <t>Debt:</t>
  </si>
  <si>
    <t>Distributable Proceeds:</t>
  </si>
  <si>
    <t>Balance for Common Shareholders:</t>
  </si>
  <si>
    <t>Value per Share of Common Stock:</t>
  </si>
  <si>
    <t>Investment $</t>
  </si>
  <si>
    <t>Date</t>
  </si>
  <si>
    <t>Account</t>
  </si>
  <si>
    <t>Amount</t>
  </si>
  <si>
    <t>Babinec, Martin Shareholder Notes Payable</t>
  </si>
  <si>
    <t>Ehinger, George Shareholder Notes Payable</t>
  </si>
  <si>
    <t>Gough, Matthew Shareholder Notes Payable</t>
  </si>
  <si>
    <t>James, Andres Shareholder Notes Payable</t>
  </si>
  <si>
    <t>Joepa Investments, LLC Shareholder Notes Payable</t>
  </si>
  <si>
    <t>Kilburn, Todd Shareholder Notes Payable</t>
  </si>
  <si>
    <t>Moran, Daniel Shareholder Notes Payable</t>
  </si>
  <si>
    <t>Hollander, Scott Shareholder Notes Payable</t>
  </si>
  <si>
    <t>Seed Capital of Central NY Shareholder Notes Payable</t>
  </si>
  <si>
    <t>Ali, Nasir Shareholder Notes Payable</t>
  </si>
  <si>
    <t>Ballway, Edward Shareholder Notes Payable</t>
  </si>
  <si>
    <t>Buckhout, Craig Shareholder Notes Payable</t>
  </si>
  <si>
    <t>Grainger, Bradley Shareholder Notes Payable</t>
  </si>
  <si>
    <t>Kalina, Richard Shareholder Notes Payable</t>
  </si>
  <si>
    <t>Viggiano, Marc Shareholder Notes Payable</t>
  </si>
  <si>
    <t>Greener, William Shareholder Notes Payable</t>
  </si>
  <si>
    <t>Suhowatsky, Stephen Shareholder Notes Payable</t>
  </si>
  <si>
    <t>Fitability Holdings Note Payable</t>
  </si>
  <si>
    <t>Chequed</t>
  </si>
  <si>
    <t>Terms</t>
  </si>
  <si>
    <t>Int Rate</t>
  </si>
  <si>
    <t>Discount</t>
  </si>
  <si>
    <t>Value Cap</t>
  </si>
  <si>
    <t>Interest</t>
  </si>
  <si>
    <t>Assumed Date of Transaction</t>
  </si>
  <si>
    <t>Security</t>
  </si>
  <si>
    <t>Common</t>
  </si>
  <si>
    <t>Preferred</t>
  </si>
  <si>
    <t>Disc Factor</t>
  </si>
  <si>
    <t>Pre-Money Valuation</t>
  </si>
  <si>
    <t>Purchasing Power</t>
  </si>
  <si>
    <t>Summary Totals</t>
  </si>
  <si>
    <t>Cummins, Douglas Shareholder Notes Payable</t>
  </si>
  <si>
    <t>Flack, James Shareholder Notes Payable</t>
  </si>
  <si>
    <t>Wolpoff, Stuart Shareholder Notes Payable</t>
  </si>
  <si>
    <t>Rand Capital</t>
  </si>
  <si>
    <t>Glodberg, Leonard and Harlean</t>
  </si>
  <si>
    <t>Rock Cut, LLC</t>
  </si>
  <si>
    <t>Greene, Michael</t>
  </si>
  <si>
    <t>Robison, Keith</t>
  </si>
  <si>
    <t>Amt with Interest</t>
  </si>
  <si>
    <t>Adj Value Cap</t>
  </si>
  <si>
    <t>Tranche 1 (25% discount)</t>
  </si>
  <si>
    <t>Tranche 2 (20% discount)</t>
  </si>
  <si>
    <t>Tranche 3 (15% discount)</t>
  </si>
  <si>
    <t>Amount to Convert</t>
  </si>
  <si>
    <t>Shares Purchased</t>
  </si>
  <si>
    <t>Assumed Purchase Price per Share</t>
  </si>
  <si>
    <t xml:space="preserve">Ali, Nasir </t>
  </si>
  <si>
    <t xml:space="preserve">Babinec, Martin </t>
  </si>
  <si>
    <t>Ballway, Edward</t>
  </si>
  <si>
    <t>Buckhout, Craig</t>
  </si>
  <si>
    <t xml:space="preserve">Cummins, Douglas </t>
  </si>
  <si>
    <t xml:space="preserve">Ehinger, George </t>
  </si>
  <si>
    <t>Flack, James</t>
  </si>
  <si>
    <t xml:space="preserve">Gough, Matthew </t>
  </si>
  <si>
    <t xml:space="preserve">Grainger, Bradley </t>
  </si>
  <si>
    <t xml:space="preserve">Greener, William </t>
  </si>
  <si>
    <t>Hollander, Scott</t>
  </si>
  <si>
    <t xml:space="preserve">James, Andres </t>
  </si>
  <si>
    <t xml:space="preserve">Joepa Investments, LLC </t>
  </si>
  <si>
    <t xml:space="preserve">Kalina, Richard </t>
  </si>
  <si>
    <t xml:space="preserve">Kilburn, Todd </t>
  </si>
  <si>
    <t xml:space="preserve">Moran, Daniel </t>
  </si>
  <si>
    <t xml:space="preserve">Seed Capital of Central NY </t>
  </si>
  <si>
    <t xml:space="preserve">Suhowatsky, Stephen </t>
  </si>
  <si>
    <t xml:space="preserve">Viggiano, Marc </t>
  </si>
  <si>
    <t xml:space="preserve">Wolpoff, Stuart </t>
  </si>
  <si>
    <t>Cash Refund</t>
  </si>
  <si>
    <t>Interest on Notes</t>
  </si>
  <si>
    <t>Principle on Notes</t>
  </si>
  <si>
    <t>% ownership</t>
  </si>
  <si>
    <t>SCF-CNY-2010 LLC</t>
  </si>
  <si>
    <t>Shareholder/Optionholder</t>
  </si>
  <si>
    <t>Common Shares</t>
  </si>
  <si>
    <t>Common Options</t>
    <phoneticPr fontId="11" type="noConversion"/>
  </si>
  <si>
    <t>Fitability</t>
  </si>
  <si>
    <t>Convertible Debt</t>
  </si>
  <si>
    <t>Option Exercise Price=</t>
  </si>
  <si>
    <t xml:space="preserve">Joe </t>
  </si>
  <si>
    <t>Tom</t>
  </si>
  <si>
    <t>George</t>
  </si>
  <si>
    <t>Lou</t>
  </si>
  <si>
    <t>Toby</t>
  </si>
  <si>
    <t>Susan</t>
  </si>
  <si>
    <t>Jake</t>
  </si>
  <si>
    <t>Marge</t>
  </si>
  <si>
    <t>Francine</t>
  </si>
  <si>
    <t>Bob</t>
  </si>
  <si>
    <t>Ralph</t>
  </si>
  <si>
    <t>Available Option Pool</t>
  </si>
  <si>
    <t xml:space="preserve">Post Money Valuation = </t>
  </si>
  <si>
    <t xml:space="preserve">Double Check on PMV = </t>
  </si>
  <si>
    <t>Return From Exit Assuming Participating Preferred</t>
  </si>
  <si>
    <t>Return From Exit Assuming Non-Participating Preferred</t>
  </si>
  <si>
    <t>Waterfall with Participating Preferred:</t>
  </si>
  <si>
    <t>Waterfall with Non-Participating Preferred:</t>
  </si>
  <si>
    <t>Convertible Debt Purchase Power:</t>
  </si>
  <si>
    <t>"Effective" Pre-Money Valuation:</t>
  </si>
  <si>
    <t>Negotiated Pre-Money Valuation</t>
  </si>
  <si>
    <t>Series Seed Conversion Ratio:</t>
  </si>
  <si>
    <t>Series Seed Price:</t>
  </si>
  <si>
    <t>Series Seed LP X:</t>
  </si>
  <si>
    <t>Series Seed aggregate LP:</t>
  </si>
  <si>
    <t>Conversion Date</t>
  </si>
  <si>
    <t>Discount Rate</t>
  </si>
  <si>
    <t>Holder</t>
  </si>
  <si>
    <t>Issue Date</t>
  </si>
  <si>
    <t>Interest Rate</t>
  </si>
  <si>
    <t>Days to Close</t>
  </si>
  <si>
    <t>Total $ at Close</t>
  </si>
  <si>
    <t>TOTAL</t>
  </si>
  <si>
    <t>Purchase Power = equivalent $ after discount</t>
  </si>
  <si>
    <t>Conversion Discount Rate:</t>
  </si>
  <si>
    <t>Purchase Power</t>
  </si>
  <si>
    <t>Interest (simple)</t>
  </si>
  <si>
    <t>Effective Pre-Money Valuation =</t>
  </si>
  <si>
    <t>CD Holder #1</t>
  </si>
  <si>
    <t>CD Holder #2</t>
  </si>
  <si>
    <t>CD Holder #3</t>
  </si>
  <si>
    <t>CD Holder #4</t>
  </si>
  <si>
    <t>CD Holder #5</t>
  </si>
  <si>
    <t xml:space="preserve">$$ Raised in Round plus Con Debt = </t>
  </si>
  <si>
    <t>Total Fully Diluted Shares</t>
  </si>
  <si>
    <t>% Ownership</t>
  </si>
  <si>
    <t>Convertible Debt Purchase Power</t>
  </si>
  <si>
    <t>Series Seed Purchased with Convertible Debt</t>
  </si>
  <si>
    <t>Series Seed $$ Investments</t>
  </si>
  <si>
    <t>Series Seed Purchased for New $$</t>
  </si>
  <si>
    <t>Total Series Seed Preferred</t>
  </si>
  <si>
    <t xml:space="preserve"> New Investor 1</t>
  </si>
  <si>
    <t>New Investor 2</t>
  </si>
  <si>
    <t>New Investor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</si>
</sst>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&quot;$&quot;* #,##0.0000_);_(&quot;$&quot;* \(#,##0.0000\);_(&quot;$&quot;* &quot;-&quot;??_);_(@_)"/>
    <numFmt numFmtId="167" formatCode="[$-409]d\-mmm\-yy;@"/>
    <numFmt numFmtId="168" formatCode="_(&quot;$&quot;* #,##0_);_(&quot;$&quot;* \(#,##0\);_(&quot;$&quot;* &quot;-&quot;??_);_(@_)"/>
    <numFmt numFmtId="169" formatCode="0.000%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name val="Verdana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/>
      <top/>
      <bottom/>
      <diagonal/>
    </border>
    <border>
      <left/>
      <right style="thick">
        <color rgb="FF92D050"/>
      </right>
      <top/>
      <bottom/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/>
      <top/>
      <bottom style="thick">
        <color rgb="FF92D050"/>
      </bottom>
      <diagonal/>
    </border>
    <border>
      <left/>
      <right style="thick">
        <color rgb="FF92D050"/>
      </right>
      <top/>
      <bottom style="thick">
        <color rgb="FF92D050"/>
      </bottom>
      <diagonal/>
    </border>
  </borders>
  <cellStyleXfs count="11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165" fontId="0" fillId="0" borderId="0" xfId="3" applyNumberFormat="1" applyFont="1"/>
    <xf numFmtId="0" fontId="4" fillId="0" borderId="0" xfId="0" applyFont="1"/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4" fontId="6" fillId="0" borderId="0" xfId="0" applyNumberFormat="1" applyFont="1" applyAlignment="1">
      <alignment horizontal="right" wrapText="1"/>
    </xf>
    <xf numFmtId="4" fontId="7" fillId="0" borderId="3" xfId="0" applyNumberFormat="1" applyFont="1" applyBorder="1" applyAlignment="1">
      <alignment horizontal="right" wrapText="1"/>
    </xf>
    <xf numFmtId="0" fontId="8" fillId="0" borderId="0" xfId="0" applyFont="1"/>
    <xf numFmtId="0" fontId="9" fillId="0" borderId="0" xfId="0" applyFont="1"/>
    <xf numFmtId="0" fontId="5" fillId="0" borderId="2" xfId="0" applyFont="1" applyBorder="1" applyAlignment="1">
      <alignment horizontal="center" wrapText="1"/>
    </xf>
    <xf numFmtId="9" fontId="0" fillId="0" borderId="0" xfId="0" applyNumberFormat="1"/>
    <xf numFmtId="3" fontId="6" fillId="0" borderId="0" xfId="0" applyNumberFormat="1" applyFont="1" applyAlignment="1">
      <alignment horizontal="right" wrapText="1"/>
    </xf>
    <xf numFmtId="3" fontId="7" fillId="0" borderId="3" xfId="0" applyNumberFormat="1" applyFont="1" applyBorder="1" applyAlignment="1">
      <alignment horizontal="right" wrapText="1"/>
    </xf>
    <xf numFmtId="167" fontId="7" fillId="0" borderId="0" xfId="0" applyNumberFormat="1" applyFont="1"/>
    <xf numFmtId="3" fontId="6" fillId="0" borderId="0" xfId="0" applyNumberFormat="1" applyFont="1" applyAlignment="1">
      <alignment horizontal="center" wrapText="1"/>
    </xf>
    <xf numFmtId="4" fontId="6" fillId="0" borderId="0" xfId="0" applyNumberFormat="1" applyFont="1" applyAlignment="1">
      <alignment horizontal="center" wrapText="1"/>
    </xf>
    <xf numFmtId="167" fontId="6" fillId="0" borderId="0" xfId="0" applyNumberFormat="1" applyFont="1" applyAlignment="1">
      <alignment wrapText="1"/>
    </xf>
    <xf numFmtId="0" fontId="6" fillId="2" borderId="4" xfId="0" applyFont="1" applyFill="1" applyBorder="1" applyAlignment="1">
      <alignment wrapText="1"/>
    </xf>
    <xf numFmtId="0" fontId="0" fillId="2" borderId="5" xfId="0" applyFill="1" applyBorder="1"/>
    <xf numFmtId="3" fontId="6" fillId="2" borderId="6" xfId="0" applyNumberFormat="1" applyFont="1" applyFill="1" applyBorder="1" applyAlignment="1">
      <alignment horizontal="right" wrapText="1"/>
    </xf>
    <xf numFmtId="9" fontId="0" fillId="0" borderId="0" xfId="3" applyFont="1"/>
    <xf numFmtId="0" fontId="6" fillId="0" borderId="0" xfId="0" applyFont="1"/>
    <xf numFmtId="0" fontId="10" fillId="0" borderId="0" xfId="0" applyFont="1"/>
    <xf numFmtId="43" fontId="0" fillId="0" borderId="0" xfId="1" applyFont="1"/>
    <xf numFmtId="0" fontId="3" fillId="0" borderId="0" xfId="0" applyFont="1"/>
    <xf numFmtId="166" fontId="4" fillId="0" borderId="0" xfId="2" applyNumberFormat="1" applyFont="1" applyFill="1" applyAlignment="1"/>
    <xf numFmtId="44" fontId="6" fillId="0" borderId="0" xfId="2" applyFont="1" applyFill="1" applyAlignment="1">
      <alignment horizontal="right" wrapText="1"/>
    </xf>
    <xf numFmtId="44" fontId="7" fillId="0" borderId="3" xfId="2" applyFont="1" applyFill="1" applyBorder="1" applyAlignment="1">
      <alignment horizontal="right" wrapText="1"/>
    </xf>
    <xf numFmtId="44" fontId="0" fillId="0" borderId="0" xfId="2" applyFont="1"/>
    <xf numFmtId="164" fontId="6" fillId="0" borderId="0" xfId="1" applyNumberFormat="1" applyFont="1" applyFill="1" applyAlignment="1">
      <alignment horizontal="right" wrapText="1"/>
    </xf>
    <xf numFmtId="164" fontId="7" fillId="0" borderId="3" xfId="1" applyNumberFormat="1" applyFont="1" applyFill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12" fillId="0" borderId="0" xfId="0" applyFont="1"/>
    <xf numFmtId="9" fontId="12" fillId="6" borderId="0" xfId="0" applyNumberFormat="1" applyFont="1" applyFill="1"/>
    <xf numFmtId="168" fontId="12" fillId="0" borderId="0" xfId="2" applyNumberFormat="1" applyFont="1"/>
    <xf numFmtId="14" fontId="12" fillId="0" borderId="0" xfId="0" applyNumberFormat="1" applyFont="1"/>
    <xf numFmtId="9" fontId="12" fillId="0" borderId="0" xfId="0" applyNumberFormat="1" applyFont="1"/>
    <xf numFmtId="168" fontId="12" fillId="0" borderId="0" xfId="0" applyNumberFormat="1" applyFont="1"/>
    <xf numFmtId="0" fontId="12" fillId="0" borderId="0" xfId="0" applyFont="1" applyAlignment="1">
      <alignment wrapText="1"/>
    </xf>
    <xf numFmtId="9" fontId="12" fillId="0" borderId="0" xfId="3" applyFont="1"/>
    <xf numFmtId="0" fontId="12" fillId="0" borderId="0" xfId="0" applyFont="1" applyAlignment="1">
      <alignment horizontal="right" indent="1"/>
    </xf>
    <xf numFmtId="14" fontId="3" fillId="0" borderId="0" xfId="0" applyNumberFormat="1" applyFont="1"/>
    <xf numFmtId="168" fontId="12" fillId="0" borderId="0" xfId="2" applyNumberFormat="1" applyFont="1" applyFill="1"/>
    <xf numFmtId="168" fontId="3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right"/>
    </xf>
    <xf numFmtId="8" fontId="13" fillId="5" borderId="0" xfId="0" applyNumberFormat="1" applyFont="1" applyFill="1"/>
    <xf numFmtId="168" fontId="13" fillId="4" borderId="0" xfId="2" applyNumberFormat="1" applyFont="1" applyFill="1"/>
    <xf numFmtId="8" fontId="13" fillId="0" borderId="0" xfId="0" applyNumberFormat="1" applyFont="1"/>
    <xf numFmtId="168" fontId="13" fillId="0" borderId="0" xfId="2" applyNumberFormat="1" applyFont="1" applyFill="1"/>
    <xf numFmtId="166" fontId="13" fillId="0" borderId="0" xfId="2" applyNumberFormat="1" applyFont="1" applyFill="1"/>
    <xf numFmtId="166" fontId="13" fillId="0" borderId="0" xfId="0" applyNumberFormat="1" applyFont="1"/>
    <xf numFmtId="0" fontId="13" fillId="4" borderId="0" xfId="0" applyFont="1" applyFill="1"/>
    <xf numFmtId="0" fontId="15" fillId="0" borderId="0" xfId="6" applyFont="1" applyAlignment="1">
      <alignment horizontal="center" wrapText="1"/>
    </xf>
    <xf numFmtId="0" fontId="15" fillId="7" borderId="0" xfId="6" applyFont="1" applyFill="1" applyAlignment="1">
      <alignment horizontal="center" wrapText="1"/>
    </xf>
    <xf numFmtId="0" fontId="13" fillId="3" borderId="0" xfId="0" applyFont="1" applyFill="1"/>
    <xf numFmtId="168" fontId="15" fillId="0" borderId="0" xfId="2" applyNumberFormat="1" applyFont="1" applyFill="1" applyBorder="1" applyAlignment="1" applyProtection="1">
      <alignment horizontal="center" wrapText="1"/>
    </xf>
    <xf numFmtId="0" fontId="14" fillId="0" borderId="0" xfId="0" applyFont="1" applyAlignment="1">
      <alignment horizontal="center" wrapText="1"/>
    </xf>
    <xf numFmtId="41" fontId="13" fillId="0" borderId="0" xfId="0" applyNumberFormat="1" applyFont="1"/>
    <xf numFmtId="10" fontId="13" fillId="0" borderId="0" xfId="3" applyNumberFormat="1" applyFont="1"/>
    <xf numFmtId="41" fontId="13" fillId="7" borderId="0" xfId="0" applyNumberFormat="1" applyFont="1" applyFill="1"/>
    <xf numFmtId="10" fontId="13" fillId="0" borderId="0" xfId="0" applyNumberFormat="1" applyFont="1"/>
    <xf numFmtId="44" fontId="13" fillId="0" borderId="0" xfId="2" applyFont="1"/>
    <xf numFmtId="37" fontId="13" fillId="0" borderId="0" xfId="2" applyNumberFormat="1" applyFont="1" applyFill="1"/>
    <xf numFmtId="0" fontId="13" fillId="0" borderId="0" xfId="0" applyFont="1" applyAlignment="1">
      <alignment horizontal="center"/>
    </xf>
    <xf numFmtId="168" fontId="13" fillId="0" borderId="0" xfId="2" applyNumberFormat="1" applyFont="1"/>
    <xf numFmtId="0" fontId="13" fillId="0" borderId="0" xfId="0" applyFont="1" applyAlignment="1">
      <alignment horizontal="center" wrapText="1"/>
    </xf>
    <xf numFmtId="41" fontId="14" fillId="0" borderId="0" xfId="0" applyNumberFormat="1" applyFont="1"/>
    <xf numFmtId="10" fontId="14" fillId="0" borderId="0" xfId="0" applyNumberFormat="1" applyFont="1"/>
    <xf numFmtId="41" fontId="14" fillId="7" borderId="0" xfId="0" applyNumberFormat="1" applyFont="1" applyFill="1"/>
    <xf numFmtId="168" fontId="14" fillId="0" borderId="0" xfId="2" applyNumberFormat="1" applyFont="1"/>
    <xf numFmtId="9" fontId="14" fillId="0" borderId="0" xfId="3" applyFont="1"/>
    <xf numFmtId="168" fontId="14" fillId="0" borderId="0" xfId="2" applyNumberFormat="1" applyFont="1" applyFill="1"/>
    <xf numFmtId="44" fontId="14" fillId="0" borderId="0" xfId="0" applyNumberFormat="1" applyFont="1"/>
    <xf numFmtId="168" fontId="13" fillId="0" borderId="0" xfId="0" applyNumberFormat="1" applyFont="1"/>
    <xf numFmtId="44" fontId="13" fillId="0" borderId="0" xfId="0" applyNumberFormat="1" applyFont="1"/>
    <xf numFmtId="0" fontId="15" fillId="0" borderId="0" xfId="6" applyFont="1" applyAlignment="1">
      <alignment horizontal="center"/>
    </xf>
    <xf numFmtId="0" fontId="13" fillId="0" borderId="0" xfId="0" applyFont="1" applyAlignment="1">
      <alignment horizontal="right"/>
    </xf>
    <xf numFmtId="5" fontId="13" fillId="4" borderId="0" xfId="0" applyNumberFormat="1" applyFont="1" applyFill="1"/>
    <xf numFmtId="5" fontId="13" fillId="0" borderId="0" xfId="0" applyNumberFormat="1" applyFont="1"/>
    <xf numFmtId="0" fontId="16" fillId="0" borderId="0" xfId="6" applyFont="1" applyAlignment="1">
      <alignment horizontal="right"/>
    </xf>
    <xf numFmtId="7" fontId="13" fillId="0" borderId="0" xfId="0" applyNumberFormat="1" applyFont="1"/>
    <xf numFmtId="0" fontId="16" fillId="0" borderId="0" xfId="0" applyFont="1" applyAlignment="1">
      <alignment horizontal="center"/>
    </xf>
    <xf numFmtId="168" fontId="17" fillId="0" borderId="0" xfId="2" applyNumberFormat="1" applyFont="1"/>
    <xf numFmtId="41" fontId="17" fillId="0" borderId="0" xfId="0" applyNumberFormat="1" applyFont="1"/>
    <xf numFmtId="0" fontId="13" fillId="0" borderId="7" xfId="0" applyFont="1" applyBorder="1"/>
    <xf numFmtId="0" fontId="13" fillId="0" borderId="8" xfId="0" applyFont="1" applyBorder="1"/>
    <xf numFmtId="168" fontId="13" fillId="0" borderId="9" xfId="0" applyNumberFormat="1" applyFont="1" applyBorder="1"/>
    <xf numFmtId="0" fontId="13" fillId="0" borderId="10" xfId="0" applyFont="1" applyBorder="1"/>
    <xf numFmtId="168" fontId="13" fillId="0" borderId="11" xfId="0" applyNumberFormat="1" applyFont="1" applyBorder="1"/>
    <xf numFmtId="0" fontId="13" fillId="0" borderId="12" xfId="0" applyFont="1" applyBorder="1"/>
    <xf numFmtId="0" fontId="13" fillId="0" borderId="13" xfId="0" applyFont="1" applyBorder="1"/>
    <xf numFmtId="168" fontId="13" fillId="0" borderId="14" xfId="2" applyNumberFormat="1" applyFont="1" applyBorder="1"/>
    <xf numFmtId="0" fontId="3" fillId="0" borderId="1" xfId="0" applyFont="1" applyBorder="1" applyAlignment="1">
      <alignment horizontal="center"/>
    </xf>
    <xf numFmtId="169" fontId="13" fillId="0" borderId="0" xfId="3" applyNumberFormat="1" applyFont="1"/>
  </cellXfs>
  <cellStyles count="11">
    <cellStyle name="Comma" xfId="1" builtinId="3"/>
    <cellStyle name="Comma 2" xfId="7" xr:uid="{00000000-0005-0000-0000-000001000000}"/>
    <cellStyle name="Comma 3" xfId="5" xr:uid="{00000000-0005-0000-0000-000002000000}"/>
    <cellStyle name="Currency" xfId="2" builtinId="4"/>
    <cellStyle name="Currency 2" xfId="9" xr:uid="{00000000-0005-0000-0000-000004000000}"/>
    <cellStyle name="Normal" xfId="0" builtinId="0"/>
    <cellStyle name="Normal 2" xfId="6" xr:uid="{00000000-0005-0000-0000-000006000000}"/>
    <cellStyle name="Normal 3" xfId="4" xr:uid="{00000000-0005-0000-0000-000007000000}"/>
    <cellStyle name="Percent" xfId="3" builtinId="5"/>
    <cellStyle name="Percent 2" xfId="8" xr:uid="{00000000-0005-0000-0000-000009000000}"/>
    <cellStyle name="Percent 3" xfId="10" xr:uid="{00000000-0005-0000-0000-00000A000000}"/>
  </cellStyles>
  <dxfs count="0"/>
  <tableStyles count="0" defaultTableStyle="TableStyleMedium2"/>
  <colors>
    <mruColors>
      <color rgb="FFFFFF66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3"/>
  <sheetViews>
    <sheetView workbookViewId="0">
      <pane ySplit="6" topLeftCell="A16" activePane="bottomLeft" state="frozen"/>
      <selection pane="bottomLeft" activeCell="N26" sqref="N26"/>
    </sheetView>
  </sheetViews>
  <sheetFormatPr defaultColWidth="9.1796875" defaultRowHeight="12.5" x14ac:dyDescent="0.25"/>
  <cols>
    <col min="1" max="1" width="10" customWidth="1"/>
    <col min="2" max="2" width="2" customWidth="1"/>
    <col min="3" max="3" width="39.453125" bestFit="1" customWidth="1"/>
    <col min="4" max="4" width="2" customWidth="1"/>
    <col min="5" max="5" width="8.81640625" bestFit="1" customWidth="1"/>
    <col min="6" max="6" width="2" customWidth="1"/>
    <col min="9" max="9" width="10" bestFit="1" customWidth="1"/>
    <col min="10" max="10" width="10" customWidth="1"/>
    <col min="11" max="11" width="2" customWidth="1"/>
    <col min="13" max="13" width="2" customWidth="1"/>
    <col min="14" max="14" width="10" bestFit="1" customWidth="1"/>
    <col min="15" max="15" width="2" customWidth="1"/>
    <col min="16" max="16" width="10" bestFit="1" customWidth="1"/>
    <col min="17" max="17" width="2" customWidth="1"/>
    <col min="19" max="19" width="2" customWidth="1"/>
    <col min="20" max="20" width="11.26953125" customWidth="1"/>
    <col min="21" max="23" width="0" hidden="1" customWidth="1"/>
    <col min="24" max="24" width="12.453125" hidden="1" customWidth="1"/>
  </cols>
  <sheetData>
    <row r="1" spans="1:24" s="8" customFormat="1" ht="15.5" x14ac:dyDescent="0.35">
      <c r="A1" s="7" t="s">
        <v>35</v>
      </c>
      <c r="B1" s="7"/>
      <c r="C1" s="7"/>
      <c r="D1" s="7"/>
      <c r="E1" s="7"/>
      <c r="F1" s="7"/>
      <c r="K1" s="7"/>
      <c r="M1" s="7"/>
      <c r="O1" s="7"/>
      <c r="Q1" s="7"/>
      <c r="S1" s="7"/>
    </row>
    <row r="2" spans="1:24" s="8" customFormat="1" ht="15.5" x14ac:dyDescent="0.35">
      <c r="A2" s="7" t="s">
        <v>94</v>
      </c>
      <c r="B2" s="7"/>
      <c r="C2" s="7"/>
      <c r="D2" s="7"/>
      <c r="E2" s="7"/>
      <c r="F2" s="7"/>
      <c r="K2" s="7"/>
      <c r="M2" s="7"/>
      <c r="O2" s="7"/>
      <c r="Q2" s="7"/>
      <c r="S2" s="7"/>
    </row>
    <row r="3" spans="1:24" s="8" customFormat="1" ht="15.5" x14ac:dyDescent="0.35">
      <c r="A3" s="7" t="s">
        <v>41</v>
      </c>
      <c r="B3" s="7"/>
      <c r="C3" s="7"/>
      <c r="D3" s="7"/>
      <c r="E3" s="13" t="e">
        <f>#REF!</f>
        <v>#REF!</v>
      </c>
      <c r="F3" s="7"/>
      <c r="K3" s="7"/>
      <c r="M3" s="7"/>
      <c r="O3" s="7"/>
      <c r="Q3" s="7"/>
      <c r="S3" s="7"/>
    </row>
    <row r="4" spans="1:24" ht="13" x14ac:dyDescent="0.3">
      <c r="A4" s="2"/>
      <c r="B4" s="2"/>
      <c r="C4" s="2"/>
      <c r="D4" s="2"/>
      <c r="E4" s="2"/>
      <c r="F4" s="2"/>
      <c r="K4" s="2"/>
      <c r="M4" s="2"/>
      <c r="O4" s="2"/>
      <c r="Q4" s="2"/>
      <c r="S4" s="2"/>
    </row>
    <row r="5" spans="1:24" ht="13" x14ac:dyDescent="0.3">
      <c r="G5" s="93" t="s">
        <v>36</v>
      </c>
      <c r="H5" s="93"/>
      <c r="I5" s="93"/>
      <c r="J5" s="93"/>
    </row>
    <row r="6" spans="1:24" ht="23.5" thickBot="1" x14ac:dyDescent="0.3">
      <c r="A6" s="9" t="s">
        <v>14</v>
      </c>
      <c r="B6" s="3"/>
      <c r="C6" s="9" t="s">
        <v>15</v>
      </c>
      <c r="D6" s="3"/>
      <c r="E6" s="9" t="s">
        <v>16</v>
      </c>
      <c r="F6" s="3"/>
      <c r="G6" s="9" t="s">
        <v>37</v>
      </c>
      <c r="H6" s="9" t="s">
        <v>38</v>
      </c>
      <c r="I6" s="9" t="s">
        <v>39</v>
      </c>
      <c r="J6" s="9" t="s">
        <v>42</v>
      </c>
      <c r="K6" s="3"/>
      <c r="L6" s="9" t="s">
        <v>40</v>
      </c>
      <c r="M6" s="3"/>
      <c r="N6" s="9" t="s">
        <v>57</v>
      </c>
      <c r="O6" s="3"/>
      <c r="P6" s="9" t="s">
        <v>58</v>
      </c>
      <c r="Q6" s="3"/>
      <c r="R6" s="9" t="s">
        <v>45</v>
      </c>
      <c r="S6" s="3"/>
      <c r="T6" s="9" t="s">
        <v>47</v>
      </c>
    </row>
    <row r="7" spans="1:24" x14ac:dyDescent="0.25">
      <c r="A7" s="16">
        <v>39776</v>
      </c>
      <c r="C7" s="4" t="s">
        <v>17</v>
      </c>
      <c r="E7" s="11">
        <v>80000</v>
      </c>
      <c r="G7" s="10">
        <v>0.08</v>
      </c>
      <c r="H7" s="10">
        <v>0.25</v>
      </c>
      <c r="I7" s="11">
        <v>4000000</v>
      </c>
      <c r="J7" s="14" t="s">
        <v>44</v>
      </c>
      <c r="L7" s="5" t="e">
        <f>ROUND(($E$3-A7)/360*E7*G7,2)</f>
        <v>#REF!</v>
      </c>
      <c r="N7" s="5" t="e">
        <f>+E7+L7</f>
        <v>#REF!</v>
      </c>
      <c r="P7" s="11">
        <f>+I7</f>
        <v>4000000</v>
      </c>
      <c r="R7" s="10" t="e">
        <f>+P7/$L$52</f>
        <v>#REF!</v>
      </c>
      <c r="T7" s="5" t="e">
        <f>ROUND((N7)/R7,2)</f>
        <v>#REF!</v>
      </c>
      <c r="U7" t="e">
        <f>+P7/#REF!</f>
        <v>#REF!</v>
      </c>
      <c r="V7" t="e">
        <f>+N7/U7</f>
        <v>#REF!</v>
      </c>
      <c r="W7" t="e">
        <f>+T7/#REF!</f>
        <v>#REF!</v>
      </c>
      <c r="X7" s="23" t="e">
        <f>+W7-V7</f>
        <v>#REF!</v>
      </c>
    </row>
    <row r="8" spans="1:24" x14ac:dyDescent="0.25">
      <c r="A8" s="16">
        <v>39776</v>
      </c>
      <c r="C8" s="4" t="s">
        <v>18</v>
      </c>
      <c r="E8" s="11">
        <v>10000</v>
      </c>
      <c r="G8" s="10">
        <v>0.08</v>
      </c>
      <c r="H8" s="10">
        <v>0.25</v>
      </c>
      <c r="I8" s="11">
        <v>4000000</v>
      </c>
      <c r="J8" s="14" t="s">
        <v>44</v>
      </c>
      <c r="L8" s="5" t="e">
        <f t="shared" ref="L8:L45" si="0">ROUND(($E$3-A8)/360*E8*G8,2)</f>
        <v>#REF!</v>
      </c>
      <c r="N8" s="5" t="e">
        <f t="shared" ref="N8:N45" si="1">+E8+L8</f>
        <v>#REF!</v>
      </c>
      <c r="P8" s="11">
        <f t="shared" ref="P8:P45" si="2">+I8</f>
        <v>4000000</v>
      </c>
      <c r="R8" s="10" t="e">
        <f t="shared" ref="R8:R35" si="3">+P8/$L$52</f>
        <v>#REF!</v>
      </c>
      <c r="T8" s="5" t="e">
        <f t="shared" ref="T8:T45" si="4">ROUND((N8)/R8,2)</f>
        <v>#REF!</v>
      </c>
      <c r="U8" t="e">
        <f>+P8/#REF!</f>
        <v>#REF!</v>
      </c>
      <c r="V8" t="e">
        <f t="shared" ref="V8:V45" si="5">+N8/U8</f>
        <v>#REF!</v>
      </c>
      <c r="W8" t="e">
        <f>+T8/#REF!</f>
        <v>#REF!</v>
      </c>
      <c r="X8" s="23" t="e">
        <f t="shared" ref="X8:X45" si="6">+W8-V8</f>
        <v>#REF!</v>
      </c>
    </row>
    <row r="9" spans="1:24" x14ac:dyDescent="0.25">
      <c r="A9" s="16">
        <v>39776</v>
      </c>
      <c r="C9" s="4" t="s">
        <v>19</v>
      </c>
      <c r="E9" s="11">
        <v>20000</v>
      </c>
      <c r="G9" s="10">
        <v>0.08</v>
      </c>
      <c r="H9" s="10">
        <v>0.25</v>
      </c>
      <c r="I9" s="11">
        <v>4000000</v>
      </c>
      <c r="J9" s="14" t="s">
        <v>44</v>
      </c>
      <c r="L9" s="5" t="e">
        <f t="shared" si="0"/>
        <v>#REF!</v>
      </c>
      <c r="N9" s="5" t="e">
        <f t="shared" si="1"/>
        <v>#REF!</v>
      </c>
      <c r="P9" s="11">
        <f t="shared" si="2"/>
        <v>4000000</v>
      </c>
      <c r="R9" s="10" t="e">
        <f t="shared" si="3"/>
        <v>#REF!</v>
      </c>
      <c r="T9" s="5" t="e">
        <f t="shared" si="4"/>
        <v>#REF!</v>
      </c>
      <c r="U9" t="e">
        <f>+P9/#REF!</f>
        <v>#REF!</v>
      </c>
      <c r="V9" t="e">
        <f t="shared" si="5"/>
        <v>#REF!</v>
      </c>
      <c r="W9" t="e">
        <f>+T9/#REF!</f>
        <v>#REF!</v>
      </c>
      <c r="X9" s="23" t="e">
        <f t="shared" si="6"/>
        <v>#REF!</v>
      </c>
    </row>
    <row r="10" spans="1:24" x14ac:dyDescent="0.25">
      <c r="A10" s="16">
        <v>39776</v>
      </c>
      <c r="C10" s="4" t="s">
        <v>20</v>
      </c>
      <c r="E10" s="11">
        <v>50000</v>
      </c>
      <c r="G10" s="10">
        <v>0.08</v>
      </c>
      <c r="H10" s="10">
        <v>0.25</v>
      </c>
      <c r="I10" s="11">
        <v>4000000</v>
      </c>
      <c r="J10" s="14" t="s">
        <v>44</v>
      </c>
      <c r="L10" s="5" t="e">
        <f t="shared" si="0"/>
        <v>#REF!</v>
      </c>
      <c r="N10" s="5" t="e">
        <f t="shared" si="1"/>
        <v>#REF!</v>
      </c>
      <c r="P10" s="11">
        <f t="shared" si="2"/>
        <v>4000000</v>
      </c>
      <c r="R10" s="10" t="e">
        <f t="shared" si="3"/>
        <v>#REF!</v>
      </c>
      <c r="T10" s="5" t="e">
        <f t="shared" si="4"/>
        <v>#REF!</v>
      </c>
      <c r="U10" t="e">
        <f>+P10/#REF!</f>
        <v>#REF!</v>
      </c>
      <c r="V10" t="e">
        <f t="shared" si="5"/>
        <v>#REF!</v>
      </c>
      <c r="W10" t="e">
        <f>+T10/#REF!</f>
        <v>#REF!</v>
      </c>
      <c r="X10" s="23" t="e">
        <f t="shared" si="6"/>
        <v>#REF!</v>
      </c>
    </row>
    <row r="11" spans="1:24" x14ac:dyDescent="0.25">
      <c r="A11" s="16">
        <v>39776</v>
      </c>
      <c r="C11" s="4" t="s">
        <v>21</v>
      </c>
      <c r="E11" s="11">
        <v>50000</v>
      </c>
      <c r="G11" s="10">
        <v>0.08</v>
      </c>
      <c r="H11" s="10">
        <v>0.25</v>
      </c>
      <c r="I11" s="11">
        <v>4000000</v>
      </c>
      <c r="J11" s="14" t="s">
        <v>44</v>
      </c>
      <c r="L11" s="5" t="e">
        <f t="shared" si="0"/>
        <v>#REF!</v>
      </c>
      <c r="N11" s="5" t="e">
        <f t="shared" si="1"/>
        <v>#REF!</v>
      </c>
      <c r="P11" s="11">
        <f t="shared" si="2"/>
        <v>4000000</v>
      </c>
      <c r="R11" s="10" t="e">
        <f t="shared" si="3"/>
        <v>#REF!</v>
      </c>
      <c r="T11" s="5" t="e">
        <f t="shared" si="4"/>
        <v>#REF!</v>
      </c>
      <c r="U11" t="e">
        <f>+P11/#REF!</f>
        <v>#REF!</v>
      </c>
      <c r="V11" t="e">
        <f t="shared" si="5"/>
        <v>#REF!</v>
      </c>
      <c r="W11" t="e">
        <f>+T11/#REF!</f>
        <v>#REF!</v>
      </c>
      <c r="X11" s="23" t="e">
        <f t="shared" si="6"/>
        <v>#REF!</v>
      </c>
    </row>
    <row r="12" spans="1:24" x14ac:dyDescent="0.25">
      <c r="A12" s="16">
        <v>39776</v>
      </c>
      <c r="C12" s="4" t="s">
        <v>22</v>
      </c>
      <c r="E12" s="11">
        <v>15000</v>
      </c>
      <c r="G12" s="10">
        <v>0.08</v>
      </c>
      <c r="H12" s="10">
        <v>0.25</v>
      </c>
      <c r="I12" s="11">
        <v>4000000</v>
      </c>
      <c r="J12" s="14" t="s">
        <v>44</v>
      </c>
      <c r="L12" s="5" t="e">
        <f t="shared" si="0"/>
        <v>#REF!</v>
      </c>
      <c r="N12" s="5" t="e">
        <f t="shared" si="1"/>
        <v>#REF!</v>
      </c>
      <c r="P12" s="11">
        <f t="shared" si="2"/>
        <v>4000000</v>
      </c>
      <c r="R12" s="10" t="e">
        <f t="shared" si="3"/>
        <v>#REF!</v>
      </c>
      <c r="T12" s="5" t="e">
        <f t="shared" si="4"/>
        <v>#REF!</v>
      </c>
      <c r="U12" t="e">
        <f>+P12/#REF!</f>
        <v>#REF!</v>
      </c>
      <c r="V12" t="e">
        <f t="shared" si="5"/>
        <v>#REF!</v>
      </c>
      <c r="W12" t="e">
        <f>+T12/#REF!</f>
        <v>#REF!</v>
      </c>
      <c r="X12" s="23" t="e">
        <f t="shared" si="6"/>
        <v>#REF!</v>
      </c>
    </row>
    <row r="13" spans="1:24" x14ac:dyDescent="0.25">
      <c r="A13" s="16">
        <v>39776</v>
      </c>
      <c r="C13" s="4" t="s">
        <v>23</v>
      </c>
      <c r="E13" s="11">
        <v>20000</v>
      </c>
      <c r="G13" s="10">
        <v>0.08</v>
      </c>
      <c r="H13" s="10">
        <v>0.25</v>
      </c>
      <c r="I13" s="11">
        <v>4000000</v>
      </c>
      <c r="J13" s="14" t="s">
        <v>44</v>
      </c>
      <c r="L13" s="5" t="e">
        <f t="shared" si="0"/>
        <v>#REF!</v>
      </c>
      <c r="N13" s="5" t="e">
        <f t="shared" si="1"/>
        <v>#REF!</v>
      </c>
      <c r="P13" s="11">
        <f t="shared" si="2"/>
        <v>4000000</v>
      </c>
      <c r="R13" s="10" t="e">
        <f t="shared" si="3"/>
        <v>#REF!</v>
      </c>
      <c r="T13" s="5" t="e">
        <f t="shared" si="4"/>
        <v>#REF!</v>
      </c>
      <c r="U13" t="e">
        <f>+P13/#REF!</f>
        <v>#REF!</v>
      </c>
      <c r="V13" t="e">
        <f t="shared" si="5"/>
        <v>#REF!</v>
      </c>
      <c r="W13" t="e">
        <f>+T13/#REF!</f>
        <v>#REF!</v>
      </c>
      <c r="X13" s="23" t="e">
        <f t="shared" si="6"/>
        <v>#REF!</v>
      </c>
    </row>
    <row r="14" spans="1:24" x14ac:dyDescent="0.25">
      <c r="A14" s="16">
        <v>39868</v>
      </c>
      <c r="B14" s="4"/>
      <c r="C14" s="4" t="s">
        <v>20</v>
      </c>
      <c r="D14" s="4"/>
      <c r="E14" s="11">
        <v>25000</v>
      </c>
      <c r="F14" s="4"/>
      <c r="G14" s="10">
        <v>0.08</v>
      </c>
      <c r="H14" s="10">
        <v>0.25</v>
      </c>
      <c r="I14" s="11">
        <v>4000000</v>
      </c>
      <c r="J14" s="14" t="s">
        <v>44</v>
      </c>
      <c r="K14" s="4"/>
      <c r="L14" s="5" t="e">
        <f t="shared" si="0"/>
        <v>#REF!</v>
      </c>
      <c r="M14" s="4"/>
      <c r="N14" s="5" t="e">
        <f t="shared" si="1"/>
        <v>#REF!</v>
      </c>
      <c r="O14" s="4"/>
      <c r="P14" s="11">
        <f t="shared" si="2"/>
        <v>4000000</v>
      </c>
      <c r="Q14" s="4"/>
      <c r="R14" s="10" t="e">
        <f t="shared" si="3"/>
        <v>#REF!</v>
      </c>
      <c r="S14" s="4"/>
      <c r="T14" s="5" t="e">
        <f t="shared" si="4"/>
        <v>#REF!</v>
      </c>
      <c r="U14" t="e">
        <f>+P14/#REF!</f>
        <v>#REF!</v>
      </c>
      <c r="V14" t="e">
        <f t="shared" si="5"/>
        <v>#REF!</v>
      </c>
      <c r="W14" t="e">
        <f>+T14/#REF!</f>
        <v>#REF!</v>
      </c>
      <c r="X14" s="23" t="e">
        <f t="shared" si="6"/>
        <v>#REF!</v>
      </c>
    </row>
    <row r="15" spans="1:24" x14ac:dyDescent="0.25">
      <c r="A15" s="16">
        <v>39884</v>
      </c>
      <c r="C15" s="4" t="s">
        <v>24</v>
      </c>
      <c r="E15" s="11">
        <v>15000</v>
      </c>
      <c r="G15" s="10">
        <v>0.08</v>
      </c>
      <c r="H15" s="10">
        <v>0.25</v>
      </c>
      <c r="I15" s="11">
        <v>4000000</v>
      </c>
      <c r="J15" s="14" t="s">
        <v>44</v>
      </c>
      <c r="L15" s="5" t="e">
        <f t="shared" si="0"/>
        <v>#REF!</v>
      </c>
      <c r="N15" s="5" t="e">
        <f t="shared" si="1"/>
        <v>#REF!</v>
      </c>
      <c r="P15" s="11">
        <f t="shared" si="2"/>
        <v>4000000</v>
      </c>
      <c r="R15" s="10" t="e">
        <f t="shared" si="3"/>
        <v>#REF!</v>
      </c>
      <c r="T15" s="5" t="e">
        <f t="shared" si="4"/>
        <v>#REF!</v>
      </c>
      <c r="U15" t="e">
        <f>+P15/#REF!</f>
        <v>#REF!</v>
      </c>
      <c r="V15" t="e">
        <f t="shared" si="5"/>
        <v>#REF!</v>
      </c>
      <c r="W15" t="e">
        <f>+T15/#REF!</f>
        <v>#REF!</v>
      </c>
      <c r="X15" s="23" t="e">
        <f t="shared" si="6"/>
        <v>#REF!</v>
      </c>
    </row>
    <row r="16" spans="1:24" x14ac:dyDescent="0.25">
      <c r="A16" s="16">
        <v>39923</v>
      </c>
      <c r="B16" s="4"/>
      <c r="C16" s="4" t="s">
        <v>21</v>
      </c>
      <c r="D16" s="4"/>
      <c r="E16" s="11">
        <v>50000</v>
      </c>
      <c r="F16" s="4"/>
      <c r="G16" s="10">
        <v>0.08</v>
      </c>
      <c r="H16" s="10">
        <v>0.25</v>
      </c>
      <c r="I16" s="11">
        <v>4000000</v>
      </c>
      <c r="J16" s="14" t="s">
        <v>44</v>
      </c>
      <c r="K16" s="4"/>
      <c r="L16" s="5" t="e">
        <f t="shared" si="0"/>
        <v>#REF!</v>
      </c>
      <c r="M16" s="4"/>
      <c r="N16" s="5" t="e">
        <f t="shared" si="1"/>
        <v>#REF!</v>
      </c>
      <c r="O16" s="4"/>
      <c r="P16" s="11">
        <f t="shared" si="2"/>
        <v>4000000</v>
      </c>
      <c r="Q16" s="4"/>
      <c r="R16" s="10" t="e">
        <f t="shared" si="3"/>
        <v>#REF!</v>
      </c>
      <c r="S16" s="4"/>
      <c r="T16" s="5" t="e">
        <f t="shared" si="4"/>
        <v>#REF!</v>
      </c>
      <c r="U16" t="e">
        <f>+P16/#REF!</f>
        <v>#REF!</v>
      </c>
      <c r="V16" t="e">
        <f t="shared" si="5"/>
        <v>#REF!</v>
      </c>
      <c r="W16" t="e">
        <f>+T16/#REF!</f>
        <v>#REF!</v>
      </c>
      <c r="X16" s="23" t="e">
        <f t="shared" si="6"/>
        <v>#REF!</v>
      </c>
    </row>
    <row r="17" spans="1:24" x14ac:dyDescent="0.25">
      <c r="A17" s="16">
        <v>40030</v>
      </c>
      <c r="C17" s="4" t="s">
        <v>25</v>
      </c>
      <c r="E17" s="11">
        <v>150000</v>
      </c>
      <c r="G17" s="10">
        <v>0.08</v>
      </c>
      <c r="H17" s="10">
        <v>0.2</v>
      </c>
      <c r="I17" s="11">
        <v>4000000</v>
      </c>
      <c r="J17" s="14" t="s">
        <v>44</v>
      </c>
      <c r="L17" s="5" t="e">
        <f t="shared" si="0"/>
        <v>#REF!</v>
      </c>
      <c r="N17" s="5" t="e">
        <f t="shared" si="1"/>
        <v>#REF!</v>
      </c>
      <c r="P17" s="11">
        <f t="shared" si="2"/>
        <v>4000000</v>
      </c>
      <c r="R17" s="10" t="e">
        <f t="shared" si="3"/>
        <v>#REF!</v>
      </c>
      <c r="T17" s="5" t="e">
        <f t="shared" si="4"/>
        <v>#REF!</v>
      </c>
      <c r="U17" t="e">
        <f>+P17/#REF!</f>
        <v>#REF!</v>
      </c>
      <c r="V17" t="e">
        <f t="shared" si="5"/>
        <v>#REF!</v>
      </c>
      <c r="W17" t="e">
        <f>+T17/#REF!</f>
        <v>#REF!</v>
      </c>
      <c r="X17" s="23" t="e">
        <f t="shared" si="6"/>
        <v>#REF!</v>
      </c>
    </row>
    <row r="18" spans="1:24" x14ac:dyDescent="0.25">
      <c r="A18" s="16">
        <v>40056</v>
      </c>
      <c r="B18" s="4"/>
      <c r="C18" s="4" t="s">
        <v>26</v>
      </c>
      <c r="D18" s="4"/>
      <c r="E18" s="11">
        <v>5000</v>
      </c>
      <c r="F18" s="4"/>
      <c r="G18" s="10">
        <v>0.08</v>
      </c>
      <c r="H18" s="10">
        <v>0.2</v>
      </c>
      <c r="I18" s="11">
        <v>4000000</v>
      </c>
      <c r="J18" s="14" t="s">
        <v>44</v>
      </c>
      <c r="K18" s="4"/>
      <c r="L18" s="5" t="e">
        <f t="shared" si="0"/>
        <v>#REF!</v>
      </c>
      <c r="M18" s="4"/>
      <c r="N18" s="5" t="e">
        <f t="shared" si="1"/>
        <v>#REF!</v>
      </c>
      <c r="O18" s="4"/>
      <c r="P18" s="11">
        <f t="shared" si="2"/>
        <v>4000000</v>
      </c>
      <c r="Q18" s="4"/>
      <c r="R18" s="10" t="e">
        <f t="shared" si="3"/>
        <v>#REF!</v>
      </c>
      <c r="S18" s="4"/>
      <c r="T18" s="5" t="e">
        <f t="shared" si="4"/>
        <v>#REF!</v>
      </c>
      <c r="U18" t="e">
        <f>+P18/#REF!</f>
        <v>#REF!</v>
      </c>
      <c r="V18" t="e">
        <f t="shared" si="5"/>
        <v>#REF!</v>
      </c>
      <c r="W18" t="e">
        <f>+T18/#REF!</f>
        <v>#REF!</v>
      </c>
      <c r="X18" s="23" t="e">
        <f t="shared" si="6"/>
        <v>#REF!</v>
      </c>
    </row>
    <row r="19" spans="1:24" x14ac:dyDescent="0.25">
      <c r="A19" s="16">
        <v>40056</v>
      </c>
      <c r="B19" s="4"/>
      <c r="C19" s="4" t="s">
        <v>27</v>
      </c>
      <c r="D19" s="4"/>
      <c r="E19" s="11">
        <v>5000</v>
      </c>
      <c r="F19" s="4"/>
      <c r="G19" s="10">
        <v>0.08</v>
      </c>
      <c r="H19" s="10">
        <v>0.2</v>
      </c>
      <c r="I19" s="11">
        <v>4000000</v>
      </c>
      <c r="J19" s="14" t="s">
        <v>44</v>
      </c>
      <c r="K19" s="4"/>
      <c r="L19" s="5" t="e">
        <f t="shared" si="0"/>
        <v>#REF!</v>
      </c>
      <c r="M19" s="4"/>
      <c r="N19" s="5" t="e">
        <f t="shared" si="1"/>
        <v>#REF!</v>
      </c>
      <c r="O19" s="4"/>
      <c r="P19" s="11">
        <f t="shared" si="2"/>
        <v>4000000</v>
      </c>
      <c r="Q19" s="4"/>
      <c r="R19" s="10" t="e">
        <f t="shared" si="3"/>
        <v>#REF!</v>
      </c>
      <c r="S19" s="4"/>
      <c r="T19" s="5" t="e">
        <f t="shared" si="4"/>
        <v>#REF!</v>
      </c>
      <c r="U19" t="e">
        <f>+P19/#REF!</f>
        <v>#REF!</v>
      </c>
      <c r="V19" t="e">
        <f t="shared" si="5"/>
        <v>#REF!</v>
      </c>
      <c r="W19" t="e">
        <f>+T19/#REF!</f>
        <v>#REF!</v>
      </c>
      <c r="X19" s="23" t="e">
        <f t="shared" si="6"/>
        <v>#REF!</v>
      </c>
    </row>
    <row r="20" spans="1:24" x14ac:dyDescent="0.25">
      <c r="A20" s="16">
        <v>40056</v>
      </c>
      <c r="B20" s="4"/>
      <c r="C20" s="4" t="s">
        <v>28</v>
      </c>
      <c r="D20" s="4"/>
      <c r="E20" s="11">
        <v>5000</v>
      </c>
      <c r="F20" s="4"/>
      <c r="G20" s="10">
        <v>0.08</v>
      </c>
      <c r="H20" s="10">
        <v>0.2</v>
      </c>
      <c r="I20" s="11">
        <v>4000000</v>
      </c>
      <c r="J20" s="14" t="s">
        <v>44</v>
      </c>
      <c r="K20" s="4"/>
      <c r="L20" s="5" t="e">
        <f t="shared" si="0"/>
        <v>#REF!</v>
      </c>
      <c r="M20" s="4"/>
      <c r="N20" s="5" t="e">
        <f t="shared" si="1"/>
        <v>#REF!</v>
      </c>
      <c r="O20" s="4"/>
      <c r="P20" s="11">
        <f t="shared" si="2"/>
        <v>4000000</v>
      </c>
      <c r="Q20" s="4"/>
      <c r="R20" s="10" t="e">
        <f t="shared" si="3"/>
        <v>#REF!</v>
      </c>
      <c r="S20" s="4"/>
      <c r="T20" s="5" t="e">
        <f t="shared" si="4"/>
        <v>#REF!</v>
      </c>
      <c r="U20" t="e">
        <f>+P20/#REF!</f>
        <v>#REF!</v>
      </c>
      <c r="V20" t="e">
        <f t="shared" si="5"/>
        <v>#REF!</v>
      </c>
      <c r="W20" t="e">
        <f>+T20/#REF!</f>
        <v>#REF!</v>
      </c>
      <c r="X20" s="23" t="e">
        <f t="shared" si="6"/>
        <v>#REF!</v>
      </c>
    </row>
    <row r="21" spans="1:24" x14ac:dyDescent="0.25">
      <c r="A21" s="16">
        <v>40056</v>
      </c>
      <c r="B21" s="4"/>
      <c r="C21" s="4" t="s">
        <v>29</v>
      </c>
      <c r="D21" s="4"/>
      <c r="E21" s="11">
        <v>5000</v>
      </c>
      <c r="F21" s="4"/>
      <c r="G21" s="10">
        <v>0.08</v>
      </c>
      <c r="H21" s="10">
        <v>0.2</v>
      </c>
      <c r="I21" s="11">
        <v>4000000</v>
      </c>
      <c r="J21" s="14" t="s">
        <v>44</v>
      </c>
      <c r="K21" s="4"/>
      <c r="L21" s="5" t="e">
        <f t="shared" si="0"/>
        <v>#REF!</v>
      </c>
      <c r="M21" s="4"/>
      <c r="N21" s="5" t="e">
        <f t="shared" si="1"/>
        <v>#REF!</v>
      </c>
      <c r="O21" s="4"/>
      <c r="P21" s="11">
        <f t="shared" si="2"/>
        <v>4000000</v>
      </c>
      <c r="Q21" s="4"/>
      <c r="R21" s="10" t="e">
        <f t="shared" si="3"/>
        <v>#REF!</v>
      </c>
      <c r="S21" s="4"/>
      <c r="T21" s="5" t="e">
        <f t="shared" si="4"/>
        <v>#REF!</v>
      </c>
      <c r="U21" t="e">
        <f>+P21/#REF!</f>
        <v>#REF!</v>
      </c>
      <c r="V21" t="e">
        <f t="shared" si="5"/>
        <v>#REF!</v>
      </c>
      <c r="W21" t="e">
        <f>+T21/#REF!</f>
        <v>#REF!</v>
      </c>
      <c r="X21" s="23" t="e">
        <f t="shared" si="6"/>
        <v>#REF!</v>
      </c>
    </row>
    <row r="22" spans="1:24" x14ac:dyDescent="0.25">
      <c r="A22" s="16">
        <v>40056</v>
      </c>
      <c r="B22" s="4"/>
      <c r="C22" s="4" t="s">
        <v>30</v>
      </c>
      <c r="D22" s="4"/>
      <c r="E22" s="11">
        <v>5000</v>
      </c>
      <c r="F22" s="4"/>
      <c r="G22" s="10">
        <v>0.08</v>
      </c>
      <c r="H22" s="10">
        <v>0.2</v>
      </c>
      <c r="I22" s="11">
        <v>4000000</v>
      </c>
      <c r="J22" s="14" t="s">
        <v>44</v>
      </c>
      <c r="K22" s="4"/>
      <c r="L22" s="5" t="e">
        <f t="shared" si="0"/>
        <v>#REF!</v>
      </c>
      <c r="M22" s="4"/>
      <c r="N22" s="5" t="e">
        <f t="shared" si="1"/>
        <v>#REF!</v>
      </c>
      <c r="O22" s="4"/>
      <c r="P22" s="11">
        <f t="shared" si="2"/>
        <v>4000000</v>
      </c>
      <c r="Q22" s="4"/>
      <c r="R22" s="10" t="e">
        <f t="shared" si="3"/>
        <v>#REF!</v>
      </c>
      <c r="S22" s="4"/>
      <c r="T22" s="5" t="e">
        <f t="shared" si="4"/>
        <v>#REF!</v>
      </c>
      <c r="U22" t="e">
        <f>+P22/#REF!</f>
        <v>#REF!</v>
      </c>
      <c r="V22" t="e">
        <f t="shared" si="5"/>
        <v>#REF!</v>
      </c>
      <c r="W22" t="e">
        <f>+T22/#REF!</f>
        <v>#REF!</v>
      </c>
      <c r="X22" s="23" t="e">
        <f t="shared" si="6"/>
        <v>#REF!</v>
      </c>
    </row>
    <row r="23" spans="1:24" x14ac:dyDescent="0.25">
      <c r="A23" s="16">
        <v>40056</v>
      </c>
      <c r="B23" s="4"/>
      <c r="C23" s="4" t="s">
        <v>31</v>
      </c>
      <c r="D23" s="4"/>
      <c r="E23" s="11">
        <v>5000</v>
      </c>
      <c r="F23" s="4"/>
      <c r="G23" s="10">
        <v>0.08</v>
      </c>
      <c r="H23" s="10">
        <v>0.2</v>
      </c>
      <c r="I23" s="11">
        <v>4000000</v>
      </c>
      <c r="J23" s="14" t="s">
        <v>44</v>
      </c>
      <c r="K23" s="4"/>
      <c r="L23" s="5" t="e">
        <f t="shared" si="0"/>
        <v>#REF!</v>
      </c>
      <c r="M23" s="4"/>
      <c r="N23" s="5" t="e">
        <f t="shared" si="1"/>
        <v>#REF!</v>
      </c>
      <c r="O23" s="4"/>
      <c r="P23" s="11">
        <f t="shared" si="2"/>
        <v>4000000</v>
      </c>
      <c r="Q23" s="4"/>
      <c r="R23" s="10" t="e">
        <f t="shared" si="3"/>
        <v>#REF!</v>
      </c>
      <c r="S23" s="4"/>
      <c r="T23" s="5" t="e">
        <f t="shared" si="4"/>
        <v>#REF!</v>
      </c>
      <c r="U23" t="e">
        <f>+P23/#REF!</f>
        <v>#REF!</v>
      </c>
      <c r="V23" t="e">
        <f t="shared" si="5"/>
        <v>#REF!</v>
      </c>
      <c r="W23" t="e">
        <f>+T23/#REF!</f>
        <v>#REF!</v>
      </c>
      <c r="X23" s="23" t="e">
        <f t="shared" si="6"/>
        <v>#REF!</v>
      </c>
    </row>
    <row r="24" spans="1:24" x14ac:dyDescent="0.25">
      <c r="A24" s="16">
        <v>40059</v>
      </c>
      <c r="B24" s="4"/>
      <c r="C24" s="4" t="s">
        <v>32</v>
      </c>
      <c r="D24" s="4"/>
      <c r="E24" s="11">
        <v>5000</v>
      </c>
      <c r="F24" s="4"/>
      <c r="G24" s="10">
        <v>0.08</v>
      </c>
      <c r="H24" s="10">
        <v>0.2</v>
      </c>
      <c r="I24" s="11">
        <v>4000000</v>
      </c>
      <c r="J24" s="14" t="s">
        <v>44</v>
      </c>
      <c r="K24" s="4"/>
      <c r="L24" s="5" t="e">
        <f t="shared" si="0"/>
        <v>#REF!</v>
      </c>
      <c r="M24" s="4"/>
      <c r="N24" s="5" t="e">
        <f t="shared" si="1"/>
        <v>#REF!</v>
      </c>
      <c r="O24" s="4"/>
      <c r="P24" s="11">
        <f t="shared" si="2"/>
        <v>4000000</v>
      </c>
      <c r="Q24" s="4"/>
      <c r="R24" s="10" t="e">
        <f t="shared" si="3"/>
        <v>#REF!</v>
      </c>
      <c r="S24" s="4"/>
      <c r="T24" s="5" t="e">
        <f t="shared" si="4"/>
        <v>#REF!</v>
      </c>
      <c r="U24" t="e">
        <f>+P24/#REF!</f>
        <v>#REF!</v>
      </c>
      <c r="V24" t="e">
        <f t="shared" si="5"/>
        <v>#REF!</v>
      </c>
      <c r="W24" t="e">
        <f>+T24/#REF!</f>
        <v>#REF!</v>
      </c>
      <c r="X24" s="23" t="e">
        <f t="shared" si="6"/>
        <v>#REF!</v>
      </c>
    </row>
    <row r="25" spans="1:24" x14ac:dyDescent="0.25">
      <c r="A25" s="16">
        <v>40079</v>
      </c>
      <c r="B25" s="4"/>
      <c r="C25" s="4" t="s">
        <v>33</v>
      </c>
      <c r="D25" s="4"/>
      <c r="E25" s="11">
        <v>5000</v>
      </c>
      <c r="F25" s="4"/>
      <c r="G25" s="10">
        <v>0.08</v>
      </c>
      <c r="H25" s="10">
        <v>0.2</v>
      </c>
      <c r="I25" s="11">
        <v>4000000</v>
      </c>
      <c r="J25" s="14" t="s">
        <v>44</v>
      </c>
      <c r="K25" s="4"/>
      <c r="L25" s="5" t="e">
        <f t="shared" si="0"/>
        <v>#REF!</v>
      </c>
      <c r="M25" s="4"/>
      <c r="N25" s="5" t="e">
        <f t="shared" si="1"/>
        <v>#REF!</v>
      </c>
      <c r="O25" s="4"/>
      <c r="P25" s="11">
        <f t="shared" si="2"/>
        <v>4000000</v>
      </c>
      <c r="Q25" s="4"/>
      <c r="R25" s="10" t="e">
        <f t="shared" si="3"/>
        <v>#REF!</v>
      </c>
      <c r="S25" s="4"/>
      <c r="T25" s="5" t="e">
        <f t="shared" si="4"/>
        <v>#REF!</v>
      </c>
      <c r="U25" t="e">
        <f>+P25/#REF!</f>
        <v>#REF!</v>
      </c>
      <c r="V25" t="e">
        <f t="shared" si="5"/>
        <v>#REF!</v>
      </c>
      <c r="W25" t="e">
        <f>+T25/#REF!</f>
        <v>#REF!</v>
      </c>
      <c r="X25" s="23" t="e">
        <f t="shared" si="6"/>
        <v>#REF!</v>
      </c>
    </row>
    <row r="26" spans="1:24" x14ac:dyDescent="0.25">
      <c r="A26" s="16">
        <v>40102</v>
      </c>
      <c r="B26" s="4"/>
      <c r="C26" s="4" t="s">
        <v>34</v>
      </c>
      <c r="D26" s="4"/>
      <c r="E26" s="11">
        <v>300000</v>
      </c>
      <c r="F26" s="4"/>
      <c r="G26" s="10">
        <v>2.6599999999999999E-2</v>
      </c>
      <c r="H26" s="10"/>
      <c r="I26" s="11"/>
      <c r="J26" s="15" t="s">
        <v>43</v>
      </c>
      <c r="K26" s="4"/>
      <c r="L26" s="5" t="e">
        <f t="shared" si="0"/>
        <v>#REF!</v>
      </c>
      <c r="M26" s="4"/>
      <c r="N26" s="5" t="e">
        <f t="shared" si="1"/>
        <v>#REF!</v>
      </c>
      <c r="O26" s="4"/>
      <c r="P26" s="11"/>
      <c r="Q26" s="4"/>
      <c r="R26" s="20">
        <v>1</v>
      </c>
      <c r="S26" s="4"/>
      <c r="T26" s="5" t="e">
        <f>ROUND((E26+L26)/R26,2)</f>
        <v>#REF!</v>
      </c>
      <c r="X26" s="23">
        <f t="shared" si="6"/>
        <v>0</v>
      </c>
    </row>
    <row r="27" spans="1:24" x14ac:dyDescent="0.25">
      <c r="A27" s="16">
        <v>40308</v>
      </c>
      <c r="B27" s="4"/>
      <c r="C27" s="4" t="s">
        <v>49</v>
      </c>
      <c r="D27" s="4"/>
      <c r="E27" s="11">
        <v>25000</v>
      </c>
      <c r="F27" s="4"/>
      <c r="G27" s="10">
        <v>0.08</v>
      </c>
      <c r="H27" s="10">
        <v>0.2</v>
      </c>
      <c r="I27" s="11">
        <v>4000000</v>
      </c>
      <c r="J27" s="14" t="s">
        <v>44</v>
      </c>
      <c r="K27" s="4"/>
      <c r="L27" s="5" t="e">
        <f t="shared" si="0"/>
        <v>#REF!</v>
      </c>
      <c r="M27" s="4"/>
      <c r="N27" s="5" t="e">
        <f t="shared" si="1"/>
        <v>#REF!</v>
      </c>
      <c r="O27" s="4"/>
      <c r="P27" s="11">
        <f t="shared" si="2"/>
        <v>4000000</v>
      </c>
      <c r="Q27" s="4"/>
      <c r="R27" s="10" t="e">
        <f t="shared" si="3"/>
        <v>#REF!</v>
      </c>
      <c r="S27" s="4"/>
      <c r="T27" s="5" t="e">
        <f t="shared" si="4"/>
        <v>#REF!</v>
      </c>
      <c r="U27" t="e">
        <f>+P27/#REF!</f>
        <v>#REF!</v>
      </c>
      <c r="V27" t="e">
        <f t="shared" si="5"/>
        <v>#REF!</v>
      </c>
      <c r="W27" t="e">
        <f>+T27/#REF!</f>
        <v>#REF!</v>
      </c>
      <c r="X27" s="23" t="e">
        <f t="shared" si="6"/>
        <v>#REF!</v>
      </c>
    </row>
    <row r="28" spans="1:24" x14ac:dyDescent="0.25">
      <c r="A28" s="16">
        <v>40331</v>
      </c>
      <c r="B28" s="4"/>
      <c r="C28" s="4" t="s">
        <v>25</v>
      </c>
      <c r="D28" s="4"/>
      <c r="E28" s="11">
        <v>100000</v>
      </c>
      <c r="F28" s="4"/>
      <c r="G28" s="10">
        <v>0.08</v>
      </c>
      <c r="H28" s="10">
        <v>0.2</v>
      </c>
      <c r="I28" s="11">
        <v>4000000</v>
      </c>
      <c r="J28" s="14" t="s">
        <v>44</v>
      </c>
      <c r="K28" s="4"/>
      <c r="L28" s="5" t="e">
        <f t="shared" si="0"/>
        <v>#REF!</v>
      </c>
      <c r="M28" s="4"/>
      <c r="N28" s="5" t="e">
        <f t="shared" si="1"/>
        <v>#REF!</v>
      </c>
      <c r="O28" s="4"/>
      <c r="P28" s="11">
        <f t="shared" si="2"/>
        <v>4000000</v>
      </c>
      <c r="Q28" s="4"/>
      <c r="R28" s="10" t="e">
        <f t="shared" si="3"/>
        <v>#REF!</v>
      </c>
      <c r="S28" s="4"/>
      <c r="T28" s="5" t="e">
        <f t="shared" si="4"/>
        <v>#REF!</v>
      </c>
      <c r="U28" t="e">
        <f>+P28/#REF!</f>
        <v>#REF!</v>
      </c>
      <c r="V28" t="e">
        <f t="shared" si="5"/>
        <v>#REF!</v>
      </c>
      <c r="W28" t="e">
        <f>+T28/#REF!</f>
        <v>#REF!</v>
      </c>
      <c r="X28" s="23" t="e">
        <f t="shared" si="6"/>
        <v>#REF!</v>
      </c>
    </row>
    <row r="29" spans="1:24" x14ac:dyDescent="0.25">
      <c r="A29" s="16">
        <v>40332</v>
      </c>
      <c r="B29" s="4"/>
      <c r="C29" s="4" t="s">
        <v>17</v>
      </c>
      <c r="D29" s="4"/>
      <c r="E29" s="11">
        <v>20000</v>
      </c>
      <c r="F29" s="4"/>
      <c r="G29" s="10">
        <v>0.08</v>
      </c>
      <c r="H29" s="10">
        <v>0.2</v>
      </c>
      <c r="I29" s="11">
        <v>4000000</v>
      </c>
      <c r="J29" s="14" t="s">
        <v>44</v>
      </c>
      <c r="K29" s="4"/>
      <c r="L29" s="5" t="e">
        <f t="shared" si="0"/>
        <v>#REF!</v>
      </c>
      <c r="M29" s="4"/>
      <c r="N29" s="5" t="e">
        <f t="shared" si="1"/>
        <v>#REF!</v>
      </c>
      <c r="O29" s="4"/>
      <c r="P29" s="11">
        <f t="shared" si="2"/>
        <v>4000000</v>
      </c>
      <c r="Q29" s="4"/>
      <c r="R29" s="10" t="e">
        <f t="shared" si="3"/>
        <v>#REF!</v>
      </c>
      <c r="S29" s="4"/>
      <c r="T29" s="5" t="e">
        <f t="shared" si="4"/>
        <v>#REF!</v>
      </c>
      <c r="U29" t="e">
        <f>+P29/#REF!</f>
        <v>#REF!</v>
      </c>
      <c r="V29" t="e">
        <f t="shared" si="5"/>
        <v>#REF!</v>
      </c>
      <c r="W29" t="e">
        <f>+T29/#REF!</f>
        <v>#REF!</v>
      </c>
      <c r="X29" s="23" t="e">
        <f t="shared" si="6"/>
        <v>#REF!</v>
      </c>
    </row>
    <row r="30" spans="1:24" x14ac:dyDescent="0.25">
      <c r="A30" s="16">
        <v>40332</v>
      </c>
      <c r="B30" s="4"/>
      <c r="C30" s="4" t="s">
        <v>20</v>
      </c>
      <c r="D30" s="4"/>
      <c r="E30" s="11">
        <v>25000</v>
      </c>
      <c r="F30" s="4"/>
      <c r="G30" s="10">
        <v>0.08</v>
      </c>
      <c r="H30" s="10">
        <v>0.2</v>
      </c>
      <c r="I30" s="11">
        <v>4000000</v>
      </c>
      <c r="J30" s="14" t="s">
        <v>44</v>
      </c>
      <c r="K30" s="4"/>
      <c r="L30" s="5" t="e">
        <f t="shared" si="0"/>
        <v>#REF!</v>
      </c>
      <c r="M30" s="4"/>
      <c r="N30" s="5" t="e">
        <f t="shared" si="1"/>
        <v>#REF!</v>
      </c>
      <c r="O30" s="4"/>
      <c r="P30" s="11">
        <f t="shared" si="2"/>
        <v>4000000</v>
      </c>
      <c r="Q30" s="4"/>
      <c r="R30" s="10" t="e">
        <f t="shared" si="3"/>
        <v>#REF!</v>
      </c>
      <c r="S30" s="4"/>
      <c r="T30" s="5" t="e">
        <f t="shared" si="4"/>
        <v>#REF!</v>
      </c>
      <c r="U30" t="e">
        <f>+P30/#REF!</f>
        <v>#REF!</v>
      </c>
      <c r="V30" t="e">
        <f t="shared" si="5"/>
        <v>#REF!</v>
      </c>
      <c r="W30" t="e">
        <f>+T30/#REF!</f>
        <v>#REF!</v>
      </c>
      <c r="X30" s="23" t="e">
        <f t="shared" si="6"/>
        <v>#REF!</v>
      </c>
    </row>
    <row r="31" spans="1:24" x14ac:dyDescent="0.25">
      <c r="A31" s="16">
        <v>40332</v>
      </c>
      <c r="B31" s="4"/>
      <c r="C31" s="4" t="s">
        <v>21</v>
      </c>
      <c r="D31" s="4"/>
      <c r="E31" s="11">
        <v>20000</v>
      </c>
      <c r="F31" s="4"/>
      <c r="G31" s="10">
        <v>0.08</v>
      </c>
      <c r="H31" s="10">
        <v>0.2</v>
      </c>
      <c r="I31" s="11">
        <v>4000000</v>
      </c>
      <c r="J31" s="14" t="s">
        <v>44</v>
      </c>
      <c r="K31" s="4"/>
      <c r="L31" s="5" t="e">
        <f t="shared" si="0"/>
        <v>#REF!</v>
      </c>
      <c r="M31" s="4"/>
      <c r="N31" s="5" t="e">
        <f t="shared" si="1"/>
        <v>#REF!</v>
      </c>
      <c r="O31" s="4"/>
      <c r="P31" s="11">
        <f t="shared" si="2"/>
        <v>4000000</v>
      </c>
      <c r="Q31" s="4"/>
      <c r="R31" s="10" t="e">
        <f t="shared" si="3"/>
        <v>#REF!</v>
      </c>
      <c r="S31" s="4"/>
      <c r="T31" s="5" t="e">
        <f t="shared" si="4"/>
        <v>#REF!</v>
      </c>
      <c r="U31" t="e">
        <f>+P31/#REF!</f>
        <v>#REF!</v>
      </c>
      <c r="V31" t="e">
        <f t="shared" si="5"/>
        <v>#REF!</v>
      </c>
      <c r="W31" t="e">
        <f>+T31/#REF!</f>
        <v>#REF!</v>
      </c>
      <c r="X31" s="23" t="e">
        <f t="shared" si="6"/>
        <v>#REF!</v>
      </c>
    </row>
    <row r="32" spans="1:24" x14ac:dyDescent="0.25">
      <c r="A32" s="16">
        <v>40337</v>
      </c>
      <c r="B32" s="4"/>
      <c r="C32" s="4" t="s">
        <v>50</v>
      </c>
      <c r="D32" s="4"/>
      <c r="E32" s="11">
        <v>60000</v>
      </c>
      <c r="F32" s="4"/>
      <c r="G32" s="10">
        <v>0.08</v>
      </c>
      <c r="H32" s="10">
        <v>0.2</v>
      </c>
      <c r="I32" s="11">
        <v>4000000</v>
      </c>
      <c r="J32" s="14" t="s">
        <v>44</v>
      </c>
      <c r="K32" s="4"/>
      <c r="L32" s="5" t="e">
        <f t="shared" si="0"/>
        <v>#REF!</v>
      </c>
      <c r="M32" s="4"/>
      <c r="N32" s="5" t="e">
        <f t="shared" si="1"/>
        <v>#REF!</v>
      </c>
      <c r="O32" s="4"/>
      <c r="P32" s="11">
        <f t="shared" si="2"/>
        <v>4000000</v>
      </c>
      <c r="Q32" s="4"/>
      <c r="R32" s="10" t="e">
        <f t="shared" si="3"/>
        <v>#REF!</v>
      </c>
      <c r="S32" s="4"/>
      <c r="T32" s="5" t="e">
        <f t="shared" si="4"/>
        <v>#REF!</v>
      </c>
      <c r="U32" t="e">
        <f>+P32/#REF!</f>
        <v>#REF!</v>
      </c>
      <c r="V32" t="e">
        <f t="shared" si="5"/>
        <v>#REF!</v>
      </c>
      <c r="W32" t="e">
        <f>+T32/#REF!</f>
        <v>#REF!</v>
      </c>
      <c r="X32" s="23" t="e">
        <f t="shared" si="6"/>
        <v>#REF!</v>
      </c>
    </row>
    <row r="33" spans="1:24" x14ac:dyDescent="0.25">
      <c r="A33" s="16">
        <v>40337</v>
      </c>
      <c r="B33" s="4"/>
      <c r="C33" s="4" t="s">
        <v>51</v>
      </c>
      <c r="D33" s="4"/>
      <c r="E33" s="11">
        <v>50000</v>
      </c>
      <c r="F33" s="4"/>
      <c r="G33" s="10">
        <v>0.08</v>
      </c>
      <c r="H33" s="10">
        <v>0.2</v>
      </c>
      <c r="I33" s="11">
        <v>4000000</v>
      </c>
      <c r="J33" s="14" t="s">
        <v>44</v>
      </c>
      <c r="K33" s="4"/>
      <c r="L33" s="5" t="e">
        <f t="shared" si="0"/>
        <v>#REF!</v>
      </c>
      <c r="M33" s="4"/>
      <c r="N33" s="5" t="e">
        <f t="shared" si="1"/>
        <v>#REF!</v>
      </c>
      <c r="O33" s="4"/>
      <c r="P33" s="11">
        <f t="shared" si="2"/>
        <v>4000000</v>
      </c>
      <c r="Q33" s="4"/>
      <c r="R33" s="10" t="e">
        <f t="shared" si="3"/>
        <v>#REF!</v>
      </c>
      <c r="S33" s="4"/>
      <c r="T33" s="5" t="e">
        <f t="shared" si="4"/>
        <v>#REF!</v>
      </c>
      <c r="U33" t="e">
        <f>+P33/#REF!</f>
        <v>#REF!</v>
      </c>
      <c r="V33" t="e">
        <f t="shared" si="5"/>
        <v>#REF!</v>
      </c>
      <c r="W33" t="e">
        <f>+T33/#REF!</f>
        <v>#REF!</v>
      </c>
      <c r="X33" s="23" t="e">
        <f t="shared" si="6"/>
        <v>#REF!</v>
      </c>
    </row>
    <row r="34" spans="1:24" x14ac:dyDescent="0.25">
      <c r="A34" s="16">
        <v>40395</v>
      </c>
      <c r="B34" s="4"/>
      <c r="C34" s="4" t="s">
        <v>17</v>
      </c>
      <c r="D34" s="4"/>
      <c r="E34" s="11">
        <v>25000</v>
      </c>
      <c r="F34" s="4"/>
      <c r="G34" s="10">
        <v>0.08</v>
      </c>
      <c r="H34" s="10">
        <v>0.2</v>
      </c>
      <c r="I34" s="11">
        <v>4000000</v>
      </c>
      <c r="J34" s="14" t="s">
        <v>44</v>
      </c>
      <c r="K34" s="4"/>
      <c r="L34" s="5" t="e">
        <f t="shared" si="0"/>
        <v>#REF!</v>
      </c>
      <c r="M34" s="4"/>
      <c r="N34" s="5" t="e">
        <f t="shared" si="1"/>
        <v>#REF!</v>
      </c>
      <c r="O34" s="4"/>
      <c r="P34" s="11">
        <f t="shared" si="2"/>
        <v>4000000</v>
      </c>
      <c r="Q34" s="4"/>
      <c r="R34" s="10" t="e">
        <f t="shared" si="3"/>
        <v>#REF!</v>
      </c>
      <c r="S34" s="4"/>
      <c r="T34" s="5" t="e">
        <f t="shared" si="4"/>
        <v>#REF!</v>
      </c>
      <c r="U34" t="e">
        <f>+P34/#REF!</f>
        <v>#REF!</v>
      </c>
      <c r="V34" t="e">
        <f t="shared" si="5"/>
        <v>#REF!</v>
      </c>
      <c r="W34" t="e">
        <f>+T34/#REF!</f>
        <v>#REF!</v>
      </c>
      <c r="X34" s="23" t="e">
        <f t="shared" si="6"/>
        <v>#REF!</v>
      </c>
    </row>
    <row r="35" spans="1:24" x14ac:dyDescent="0.25">
      <c r="A35" s="16">
        <v>40501</v>
      </c>
      <c r="B35" s="4"/>
      <c r="C35" s="4" t="s">
        <v>52</v>
      </c>
      <c r="D35" s="4"/>
      <c r="E35" s="11">
        <v>250000</v>
      </c>
      <c r="F35" s="4"/>
      <c r="G35" s="10">
        <v>0.08</v>
      </c>
      <c r="H35" s="10">
        <v>0.2</v>
      </c>
      <c r="I35" s="11">
        <v>4000000</v>
      </c>
      <c r="J35" s="14" t="s">
        <v>44</v>
      </c>
      <c r="K35" s="4"/>
      <c r="L35" s="5" t="e">
        <f t="shared" si="0"/>
        <v>#REF!</v>
      </c>
      <c r="M35" s="4"/>
      <c r="N35" s="5" t="e">
        <f t="shared" si="1"/>
        <v>#REF!</v>
      </c>
      <c r="O35" s="4"/>
      <c r="P35" s="11">
        <f t="shared" si="2"/>
        <v>4000000</v>
      </c>
      <c r="Q35" s="4"/>
      <c r="R35" s="10" t="e">
        <f t="shared" si="3"/>
        <v>#REF!</v>
      </c>
      <c r="S35" s="4"/>
      <c r="T35" s="5" t="e">
        <f t="shared" si="4"/>
        <v>#REF!</v>
      </c>
      <c r="U35" t="e">
        <f>+P35/#REF!</f>
        <v>#REF!</v>
      </c>
      <c r="V35" t="e">
        <f t="shared" si="5"/>
        <v>#REF!</v>
      </c>
      <c r="W35" t="e">
        <f>+T35/#REF!</f>
        <v>#REF!</v>
      </c>
      <c r="X35" s="23" t="e">
        <f t="shared" si="6"/>
        <v>#REF!</v>
      </c>
    </row>
    <row r="36" spans="1:24" x14ac:dyDescent="0.25">
      <c r="A36" s="16">
        <v>40717</v>
      </c>
      <c r="B36" s="4"/>
      <c r="C36" s="4" t="s">
        <v>17</v>
      </c>
      <c r="D36" s="4"/>
      <c r="E36" s="11">
        <v>15000</v>
      </c>
      <c r="F36" s="4"/>
      <c r="G36" s="10">
        <v>0.08</v>
      </c>
      <c r="H36" s="10">
        <v>0.15</v>
      </c>
      <c r="I36" s="11">
        <v>5000000</v>
      </c>
      <c r="J36" s="14" t="s">
        <v>44</v>
      </c>
      <c r="K36" s="4"/>
      <c r="L36" s="5" t="e">
        <f t="shared" si="0"/>
        <v>#REF!</v>
      </c>
      <c r="M36" s="4"/>
      <c r="N36" s="5" t="e">
        <f t="shared" si="1"/>
        <v>#REF!</v>
      </c>
      <c r="O36" s="4"/>
      <c r="P36" s="11">
        <f t="shared" si="2"/>
        <v>5000000</v>
      </c>
      <c r="Q36" s="4"/>
      <c r="R36" s="10">
        <f>+P36/$I$36</f>
        <v>1</v>
      </c>
      <c r="S36" s="4"/>
      <c r="T36" s="5" t="e">
        <f t="shared" si="4"/>
        <v>#REF!</v>
      </c>
      <c r="U36" t="e">
        <f>+P36/#REF!</f>
        <v>#REF!</v>
      </c>
      <c r="V36" t="e">
        <f t="shared" si="5"/>
        <v>#REF!</v>
      </c>
      <c r="W36" t="e">
        <f>+T36/#REF!</f>
        <v>#REF!</v>
      </c>
      <c r="X36" s="23" t="e">
        <f t="shared" si="6"/>
        <v>#REF!</v>
      </c>
    </row>
    <row r="37" spans="1:24" x14ac:dyDescent="0.25">
      <c r="A37" s="16">
        <v>40717</v>
      </c>
      <c r="B37" s="4"/>
      <c r="C37" s="4" t="s">
        <v>25</v>
      </c>
      <c r="D37" s="4"/>
      <c r="E37" s="11">
        <v>150000</v>
      </c>
      <c r="F37" s="4"/>
      <c r="G37" s="10">
        <v>0.08</v>
      </c>
      <c r="H37" s="10">
        <v>0.15</v>
      </c>
      <c r="I37" s="11">
        <v>5000000</v>
      </c>
      <c r="J37" s="14" t="s">
        <v>44</v>
      </c>
      <c r="K37" s="4"/>
      <c r="L37" s="5" t="e">
        <f t="shared" si="0"/>
        <v>#REF!</v>
      </c>
      <c r="M37" s="4"/>
      <c r="N37" s="5" t="e">
        <f t="shared" si="1"/>
        <v>#REF!</v>
      </c>
      <c r="O37" s="4"/>
      <c r="P37" s="11">
        <f t="shared" si="2"/>
        <v>5000000</v>
      </c>
      <c r="Q37" s="4"/>
      <c r="R37" s="10">
        <f t="shared" ref="R37:R45" si="7">+P37/$I$36</f>
        <v>1</v>
      </c>
      <c r="S37" s="4"/>
      <c r="T37" s="5" t="e">
        <f t="shared" si="4"/>
        <v>#REF!</v>
      </c>
      <c r="U37" t="e">
        <f>+P37/#REF!</f>
        <v>#REF!</v>
      </c>
      <c r="V37" t="e">
        <f t="shared" si="5"/>
        <v>#REF!</v>
      </c>
      <c r="W37" t="e">
        <f>+T37/#REF!</f>
        <v>#REF!</v>
      </c>
      <c r="X37" s="23" t="e">
        <f t="shared" si="6"/>
        <v>#REF!</v>
      </c>
    </row>
    <row r="38" spans="1:24" x14ac:dyDescent="0.25">
      <c r="A38" s="16">
        <v>40717</v>
      </c>
      <c r="B38" s="4"/>
      <c r="C38" s="4" t="s">
        <v>32</v>
      </c>
      <c r="D38" s="4"/>
      <c r="E38" s="11">
        <v>5000</v>
      </c>
      <c r="F38" s="4"/>
      <c r="G38" s="10">
        <v>0.08</v>
      </c>
      <c r="H38" s="10">
        <v>0.15</v>
      </c>
      <c r="I38" s="11">
        <v>5000000</v>
      </c>
      <c r="J38" s="14" t="s">
        <v>44</v>
      </c>
      <c r="K38" s="4"/>
      <c r="L38" s="5" t="e">
        <f t="shared" si="0"/>
        <v>#REF!</v>
      </c>
      <c r="M38" s="4"/>
      <c r="N38" s="5" t="e">
        <f t="shared" si="1"/>
        <v>#REF!</v>
      </c>
      <c r="O38" s="4"/>
      <c r="P38" s="11">
        <f t="shared" si="2"/>
        <v>5000000</v>
      </c>
      <c r="Q38" s="4"/>
      <c r="R38" s="10">
        <f t="shared" si="7"/>
        <v>1</v>
      </c>
      <c r="S38" s="4"/>
      <c r="T38" s="5" t="e">
        <f t="shared" si="4"/>
        <v>#REF!</v>
      </c>
      <c r="U38" t="e">
        <f>+P38/#REF!</f>
        <v>#REF!</v>
      </c>
      <c r="V38" t="e">
        <f t="shared" si="5"/>
        <v>#REF!</v>
      </c>
      <c r="W38" t="e">
        <f>+T38/#REF!</f>
        <v>#REF!</v>
      </c>
      <c r="X38" s="23" t="e">
        <f t="shared" si="6"/>
        <v>#REF!</v>
      </c>
    </row>
    <row r="39" spans="1:24" x14ac:dyDescent="0.25">
      <c r="A39" s="16">
        <v>40717</v>
      </c>
      <c r="B39" s="4"/>
      <c r="C39" s="4" t="s">
        <v>52</v>
      </c>
      <c r="D39" s="4"/>
      <c r="E39" s="11">
        <v>250000</v>
      </c>
      <c r="F39" s="4"/>
      <c r="G39" s="10">
        <v>0.08</v>
      </c>
      <c r="H39" s="10">
        <v>0.15</v>
      </c>
      <c r="I39" s="11">
        <v>5000000</v>
      </c>
      <c r="J39" s="14" t="s">
        <v>44</v>
      </c>
      <c r="K39" s="4"/>
      <c r="L39" s="5" t="e">
        <f t="shared" si="0"/>
        <v>#REF!</v>
      </c>
      <c r="M39" s="4"/>
      <c r="N39" s="5" t="e">
        <f t="shared" si="1"/>
        <v>#REF!</v>
      </c>
      <c r="O39" s="4"/>
      <c r="P39" s="11">
        <f t="shared" si="2"/>
        <v>5000000</v>
      </c>
      <c r="Q39" s="4"/>
      <c r="R39" s="10">
        <f t="shared" si="7"/>
        <v>1</v>
      </c>
      <c r="S39" s="4"/>
      <c r="T39" s="5" t="e">
        <f t="shared" si="4"/>
        <v>#REF!</v>
      </c>
      <c r="U39" t="e">
        <f>+P39/#REF!</f>
        <v>#REF!</v>
      </c>
      <c r="V39" t="e">
        <f t="shared" si="5"/>
        <v>#REF!</v>
      </c>
      <c r="W39" t="e">
        <f>+T39/#REF!</f>
        <v>#REF!</v>
      </c>
      <c r="X39" s="23" t="e">
        <f t="shared" si="6"/>
        <v>#REF!</v>
      </c>
    </row>
    <row r="40" spans="1:24" x14ac:dyDescent="0.25">
      <c r="A40" s="16">
        <v>40717</v>
      </c>
      <c r="B40" s="4"/>
      <c r="C40" s="4" t="s">
        <v>53</v>
      </c>
      <c r="D40" s="4"/>
      <c r="E40" s="11">
        <v>25000</v>
      </c>
      <c r="F40" s="4"/>
      <c r="G40" s="10">
        <v>0.08</v>
      </c>
      <c r="H40" s="10">
        <v>0.15</v>
      </c>
      <c r="I40" s="11">
        <v>5000000</v>
      </c>
      <c r="J40" s="14" t="s">
        <v>44</v>
      </c>
      <c r="K40" s="4"/>
      <c r="L40" s="5" t="e">
        <f t="shared" si="0"/>
        <v>#REF!</v>
      </c>
      <c r="M40" s="4"/>
      <c r="N40" s="5" t="e">
        <f t="shared" si="1"/>
        <v>#REF!</v>
      </c>
      <c r="O40" s="4"/>
      <c r="P40" s="11">
        <f t="shared" si="2"/>
        <v>5000000</v>
      </c>
      <c r="Q40" s="4"/>
      <c r="R40" s="10">
        <f t="shared" si="7"/>
        <v>1</v>
      </c>
      <c r="S40" s="4"/>
      <c r="T40" s="5" t="e">
        <f t="shared" si="4"/>
        <v>#REF!</v>
      </c>
      <c r="U40" t="e">
        <f>+P40/#REF!</f>
        <v>#REF!</v>
      </c>
      <c r="V40" t="e">
        <f t="shared" si="5"/>
        <v>#REF!</v>
      </c>
      <c r="W40" t="e">
        <f>+T40/#REF!</f>
        <v>#REF!</v>
      </c>
      <c r="X40" s="23" t="e">
        <f t="shared" si="6"/>
        <v>#REF!</v>
      </c>
    </row>
    <row r="41" spans="1:24" x14ac:dyDescent="0.25">
      <c r="A41" s="16">
        <v>40717</v>
      </c>
      <c r="B41" s="4"/>
      <c r="C41" s="4" t="s">
        <v>54</v>
      </c>
      <c r="D41" s="4"/>
      <c r="E41" s="11">
        <v>25000</v>
      </c>
      <c r="F41" s="4"/>
      <c r="G41" s="10">
        <v>0.08</v>
      </c>
      <c r="H41" s="10">
        <v>0.15</v>
      </c>
      <c r="I41" s="11">
        <v>5000000</v>
      </c>
      <c r="J41" s="14" t="s">
        <v>44</v>
      </c>
      <c r="K41" s="4"/>
      <c r="L41" s="5" t="e">
        <f t="shared" si="0"/>
        <v>#REF!</v>
      </c>
      <c r="M41" s="4"/>
      <c r="N41" s="5" t="e">
        <f t="shared" si="1"/>
        <v>#REF!</v>
      </c>
      <c r="O41" s="4"/>
      <c r="P41" s="11">
        <f t="shared" si="2"/>
        <v>5000000</v>
      </c>
      <c r="Q41" s="4"/>
      <c r="R41" s="10">
        <f t="shared" si="7"/>
        <v>1</v>
      </c>
      <c r="S41" s="4"/>
      <c r="T41" s="5" t="e">
        <f t="shared" si="4"/>
        <v>#REF!</v>
      </c>
      <c r="U41" t="e">
        <f>+P41/#REF!</f>
        <v>#REF!</v>
      </c>
      <c r="V41" t="e">
        <f t="shared" si="5"/>
        <v>#REF!</v>
      </c>
      <c r="W41" t="e">
        <f>+T41/#REF!</f>
        <v>#REF!</v>
      </c>
      <c r="X41" s="23" t="e">
        <f t="shared" si="6"/>
        <v>#REF!</v>
      </c>
    </row>
    <row r="42" spans="1:24" x14ac:dyDescent="0.25">
      <c r="A42" s="16">
        <v>40717</v>
      </c>
      <c r="B42" s="4"/>
      <c r="C42" s="4" t="s">
        <v>55</v>
      </c>
      <c r="D42" s="4"/>
      <c r="E42" s="11">
        <v>25000</v>
      </c>
      <c r="F42" s="4"/>
      <c r="G42" s="10">
        <v>0.08</v>
      </c>
      <c r="H42" s="10">
        <v>0.15</v>
      </c>
      <c r="I42" s="11">
        <v>5000000</v>
      </c>
      <c r="J42" s="14" t="s">
        <v>44</v>
      </c>
      <c r="K42" s="4"/>
      <c r="L42" s="5" t="e">
        <f t="shared" si="0"/>
        <v>#REF!</v>
      </c>
      <c r="M42" s="4"/>
      <c r="N42" s="5" t="e">
        <f t="shared" si="1"/>
        <v>#REF!</v>
      </c>
      <c r="O42" s="4"/>
      <c r="P42" s="11">
        <f t="shared" si="2"/>
        <v>5000000</v>
      </c>
      <c r="Q42" s="4"/>
      <c r="R42" s="10">
        <f t="shared" si="7"/>
        <v>1</v>
      </c>
      <c r="S42" s="4"/>
      <c r="T42" s="5" t="e">
        <f t="shared" si="4"/>
        <v>#REF!</v>
      </c>
      <c r="U42" t="e">
        <f>+P42/#REF!</f>
        <v>#REF!</v>
      </c>
      <c r="V42" t="e">
        <f t="shared" si="5"/>
        <v>#REF!</v>
      </c>
      <c r="W42" t="e">
        <f>+T42/#REF!</f>
        <v>#REF!</v>
      </c>
      <c r="X42" s="23" t="e">
        <f t="shared" si="6"/>
        <v>#REF!</v>
      </c>
    </row>
    <row r="43" spans="1:24" x14ac:dyDescent="0.25">
      <c r="A43" s="16">
        <v>40717</v>
      </c>
      <c r="B43" s="4"/>
      <c r="C43" s="4" t="s">
        <v>56</v>
      </c>
      <c r="D43" s="4"/>
      <c r="E43" s="11">
        <v>10000</v>
      </c>
      <c r="F43" s="4"/>
      <c r="G43" s="10">
        <v>0.08</v>
      </c>
      <c r="H43" s="10">
        <v>0.15</v>
      </c>
      <c r="I43" s="11">
        <v>5000000</v>
      </c>
      <c r="J43" s="14" t="s">
        <v>44</v>
      </c>
      <c r="K43" s="4"/>
      <c r="L43" s="5" t="e">
        <f t="shared" si="0"/>
        <v>#REF!</v>
      </c>
      <c r="M43" s="4"/>
      <c r="N43" s="5" t="e">
        <f t="shared" si="1"/>
        <v>#REF!</v>
      </c>
      <c r="O43" s="4"/>
      <c r="P43" s="11">
        <f t="shared" si="2"/>
        <v>5000000</v>
      </c>
      <c r="Q43" s="4"/>
      <c r="R43" s="10">
        <f t="shared" si="7"/>
        <v>1</v>
      </c>
      <c r="S43" s="4"/>
      <c r="T43" s="5" t="e">
        <f t="shared" si="4"/>
        <v>#REF!</v>
      </c>
      <c r="U43" t="e">
        <f>+P43/#REF!</f>
        <v>#REF!</v>
      </c>
      <c r="V43" t="e">
        <f t="shared" si="5"/>
        <v>#REF!</v>
      </c>
      <c r="W43" t="e">
        <f>+T43/#REF!</f>
        <v>#REF!</v>
      </c>
      <c r="X43" s="23" t="e">
        <f t="shared" si="6"/>
        <v>#REF!</v>
      </c>
    </row>
    <row r="44" spans="1:24" x14ac:dyDescent="0.25">
      <c r="A44" s="16">
        <v>40717</v>
      </c>
      <c r="B44" s="4"/>
      <c r="C44" s="4" t="s">
        <v>27</v>
      </c>
      <c r="D44" s="4"/>
      <c r="E44" s="11">
        <v>5000</v>
      </c>
      <c r="F44" s="4"/>
      <c r="G44" s="10">
        <v>0.08</v>
      </c>
      <c r="H44" s="10">
        <v>0.15</v>
      </c>
      <c r="I44" s="11">
        <v>5000000</v>
      </c>
      <c r="J44" s="14" t="s">
        <v>44</v>
      </c>
      <c r="K44" s="4"/>
      <c r="L44" s="5" t="e">
        <f t="shared" si="0"/>
        <v>#REF!</v>
      </c>
      <c r="M44" s="4"/>
      <c r="N44" s="5" t="e">
        <f t="shared" si="1"/>
        <v>#REF!</v>
      </c>
      <c r="O44" s="4"/>
      <c r="P44" s="11">
        <f t="shared" si="2"/>
        <v>5000000</v>
      </c>
      <c r="Q44" s="4"/>
      <c r="R44" s="10">
        <f t="shared" si="7"/>
        <v>1</v>
      </c>
      <c r="S44" s="4"/>
      <c r="T44" s="5" t="e">
        <f t="shared" si="4"/>
        <v>#REF!</v>
      </c>
      <c r="U44" t="e">
        <f>+P44/#REF!</f>
        <v>#REF!</v>
      </c>
      <c r="V44" t="e">
        <f t="shared" si="5"/>
        <v>#REF!</v>
      </c>
      <c r="W44" t="e">
        <f>+T44/#REF!</f>
        <v>#REF!</v>
      </c>
      <c r="X44" s="23" t="e">
        <f t="shared" si="6"/>
        <v>#REF!</v>
      </c>
    </row>
    <row r="45" spans="1:24" x14ac:dyDescent="0.25">
      <c r="A45" s="16">
        <v>40717</v>
      </c>
      <c r="B45" s="4"/>
      <c r="C45" s="4" t="s">
        <v>30</v>
      </c>
      <c r="D45" s="4"/>
      <c r="E45" s="11">
        <v>5000</v>
      </c>
      <c r="F45" s="4"/>
      <c r="G45" s="10">
        <v>0.08</v>
      </c>
      <c r="H45" s="10">
        <v>0.15</v>
      </c>
      <c r="I45" s="11">
        <v>5000000</v>
      </c>
      <c r="J45" s="14" t="s">
        <v>44</v>
      </c>
      <c r="K45" s="4"/>
      <c r="L45" s="5" t="e">
        <f t="shared" si="0"/>
        <v>#REF!</v>
      </c>
      <c r="M45" s="4"/>
      <c r="N45" s="5" t="e">
        <f t="shared" si="1"/>
        <v>#REF!</v>
      </c>
      <c r="O45" s="4"/>
      <c r="P45" s="11">
        <f t="shared" si="2"/>
        <v>5000000</v>
      </c>
      <c r="Q45" s="4"/>
      <c r="R45" s="10">
        <f t="shared" si="7"/>
        <v>1</v>
      </c>
      <c r="S45" s="4"/>
      <c r="T45" s="5" t="e">
        <f t="shared" si="4"/>
        <v>#REF!</v>
      </c>
      <c r="U45" t="e">
        <f>+P45/#REF!</f>
        <v>#REF!</v>
      </c>
      <c r="V45" t="e">
        <f t="shared" si="5"/>
        <v>#REF!</v>
      </c>
      <c r="W45" t="e">
        <f>+T45/#REF!</f>
        <v>#REF!</v>
      </c>
      <c r="X45" s="23" t="e">
        <f t="shared" si="6"/>
        <v>#REF!</v>
      </c>
    </row>
    <row r="46" spans="1:24" x14ac:dyDescent="0.25">
      <c r="A46" s="16"/>
      <c r="B46" s="4"/>
      <c r="C46" s="4"/>
      <c r="D46" s="4"/>
      <c r="E46" s="11"/>
      <c r="F46" s="4"/>
      <c r="G46" s="10"/>
      <c r="H46" s="10"/>
      <c r="I46" s="11"/>
      <c r="J46" s="14"/>
      <c r="K46" s="4"/>
      <c r="L46" s="5"/>
      <c r="M46" s="4"/>
      <c r="N46" s="5"/>
      <c r="O46" s="4"/>
      <c r="P46" s="5"/>
      <c r="Q46" s="4"/>
      <c r="R46" s="10"/>
      <c r="S46" s="4"/>
      <c r="T46" s="5"/>
    </row>
    <row r="47" spans="1:24" ht="13" thickBot="1" x14ac:dyDescent="0.3">
      <c r="E47" s="12">
        <f>SUM(E7:E46)</f>
        <v>1915000</v>
      </c>
      <c r="L47" s="6" t="e">
        <f>SUM(L7:L46)</f>
        <v>#REF!</v>
      </c>
      <c r="N47" s="6" t="e">
        <f>SUM(N7:N46)</f>
        <v>#REF!</v>
      </c>
      <c r="T47" s="6" t="e">
        <f>SUM(T7:T46)</f>
        <v>#REF!</v>
      </c>
    </row>
    <row r="48" spans="1:24" ht="13" thickTop="1" x14ac:dyDescent="0.25"/>
    <row r="51" spans="2:16" ht="13" thickBot="1" x14ac:dyDescent="0.3"/>
    <row r="52" spans="2:16" ht="13" thickBot="1" x14ac:dyDescent="0.3">
      <c r="C52" s="17" t="s">
        <v>46</v>
      </c>
      <c r="D52" s="18"/>
      <c r="E52" s="18"/>
      <c r="F52" s="18"/>
      <c r="G52" s="18"/>
      <c r="H52" s="18"/>
      <c r="I52" s="18"/>
      <c r="J52" s="18"/>
      <c r="K52" s="18"/>
      <c r="L52" s="19" t="e">
        <f>#REF!</f>
        <v>#REF!</v>
      </c>
    </row>
    <row r="57" spans="2:16" x14ac:dyDescent="0.25">
      <c r="B57" s="21" t="s">
        <v>48</v>
      </c>
      <c r="C57" s="21"/>
    </row>
    <row r="58" spans="2:16" x14ac:dyDescent="0.25">
      <c r="B58" s="21"/>
      <c r="C58" s="22" t="s">
        <v>59</v>
      </c>
      <c r="E58" s="11" t="e">
        <f>SUM(T7:T16)</f>
        <v>#REF!</v>
      </c>
      <c r="L58" s="5"/>
      <c r="N58" s="5"/>
      <c r="P58" s="5"/>
    </row>
    <row r="59" spans="2:16" x14ac:dyDescent="0.25">
      <c r="B59" s="21"/>
      <c r="C59" s="22" t="s">
        <v>60</v>
      </c>
      <c r="E59" s="11" t="e">
        <f>SUM(T17:T25,T27:T35)</f>
        <v>#REF!</v>
      </c>
      <c r="L59" s="5"/>
      <c r="N59" s="5"/>
      <c r="P59" s="5"/>
    </row>
    <row r="60" spans="2:16" x14ac:dyDescent="0.25">
      <c r="B60" s="21"/>
      <c r="C60" s="21" t="s">
        <v>93</v>
      </c>
      <c r="E60" s="11" t="e">
        <f>+T26</f>
        <v>#REF!</v>
      </c>
      <c r="L60" s="5"/>
      <c r="N60" s="5"/>
      <c r="P60" s="5"/>
    </row>
    <row r="61" spans="2:16" x14ac:dyDescent="0.25">
      <c r="B61" s="21"/>
      <c r="C61" s="22" t="s">
        <v>61</v>
      </c>
      <c r="E61" s="11" t="e">
        <f>SUM(T36:T45)</f>
        <v>#REF!</v>
      </c>
      <c r="L61" s="5"/>
      <c r="N61" s="5"/>
      <c r="P61" s="5"/>
    </row>
    <row r="62" spans="2:16" ht="13" thickBot="1" x14ac:dyDescent="0.3">
      <c r="E62" s="12" t="e">
        <f>SUM(E58:E61)</f>
        <v>#REF!</v>
      </c>
    </row>
    <row r="63" spans="2:16" ht="13" thickTop="1" x14ac:dyDescent="0.25"/>
  </sheetData>
  <mergeCells count="1">
    <mergeCell ref="G5:J5"/>
  </mergeCells>
  <phoneticPr fontId="6" type="noConversion"/>
  <pageMargins left="0.75" right="0.75" top="1" bottom="1" header="0.5" footer="0.5"/>
  <headerFooter alignWithMargins="0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7"/>
  <sheetViews>
    <sheetView workbookViewId="0">
      <pane ySplit="6" topLeftCell="A12" activePane="bottomLeft" state="frozen"/>
      <selection pane="bottomLeft" activeCell="I7" sqref="I7:I32"/>
    </sheetView>
  </sheetViews>
  <sheetFormatPr defaultColWidth="9.1796875" defaultRowHeight="12.5" x14ac:dyDescent="0.25"/>
  <cols>
    <col min="1" max="1" width="39.453125" bestFit="1" customWidth="1"/>
    <col min="2" max="2" width="2.453125" customWidth="1"/>
    <col min="3" max="3" width="11.7265625" bestFit="1" customWidth="1"/>
    <col min="4" max="4" width="2.453125" customWidth="1"/>
    <col min="5" max="5" width="11.7265625" bestFit="1" customWidth="1"/>
    <col min="6" max="6" width="2" customWidth="1"/>
    <col min="7" max="7" width="11.7265625" bestFit="1" customWidth="1"/>
    <col min="8" max="8" width="2" customWidth="1"/>
    <col min="9" max="9" width="10" customWidth="1"/>
    <col min="10" max="10" width="2" customWidth="1"/>
    <col min="12" max="12" width="2" customWidth="1"/>
    <col min="13" max="13" width="10.453125" customWidth="1"/>
  </cols>
  <sheetData>
    <row r="1" spans="1:13" s="8" customFormat="1" ht="15.5" x14ac:dyDescent="0.35">
      <c r="A1" s="7" t="s">
        <v>35</v>
      </c>
      <c r="B1" s="7"/>
      <c r="C1" s="7"/>
      <c r="D1" s="7"/>
      <c r="E1" s="7"/>
      <c r="F1" s="7"/>
      <c r="G1" s="7"/>
      <c r="H1" s="7"/>
      <c r="J1" s="7"/>
      <c r="L1" s="7"/>
    </row>
    <row r="2" spans="1:13" s="8" customFormat="1" ht="15.5" x14ac:dyDescent="0.35">
      <c r="A2" s="7" t="s">
        <v>94</v>
      </c>
      <c r="B2" s="7"/>
      <c r="C2" s="7"/>
      <c r="D2" s="7"/>
      <c r="E2" s="7"/>
      <c r="F2" s="7"/>
      <c r="G2" s="7"/>
      <c r="H2" s="7"/>
      <c r="J2" s="7"/>
      <c r="L2" s="7"/>
    </row>
    <row r="3" spans="1:13" s="8" customFormat="1" ht="15.5" x14ac:dyDescent="0.35">
      <c r="A3" s="7" t="s">
        <v>41</v>
      </c>
      <c r="B3" s="7"/>
      <c r="C3" s="13" t="e">
        <f>#REF!</f>
        <v>#REF!</v>
      </c>
      <c r="D3" s="7"/>
      <c r="E3" s="13"/>
      <c r="F3" s="7"/>
      <c r="H3" s="7"/>
      <c r="J3" s="7"/>
      <c r="L3" s="7"/>
    </row>
    <row r="4" spans="1:13" ht="13" x14ac:dyDescent="0.3">
      <c r="A4" s="24" t="s">
        <v>64</v>
      </c>
      <c r="B4" s="24"/>
      <c r="C4" s="25" t="e">
        <f>+#REF!</f>
        <v>#REF!</v>
      </c>
      <c r="D4" s="24"/>
      <c r="E4" s="25"/>
      <c r="F4" s="2"/>
      <c r="H4" s="2"/>
      <c r="J4" s="2"/>
      <c r="L4" s="2"/>
    </row>
    <row r="6" spans="1:13" ht="23.5" thickBot="1" x14ac:dyDescent="0.3">
      <c r="A6" s="9" t="s">
        <v>15</v>
      </c>
      <c r="B6" s="3"/>
      <c r="C6" s="9" t="s">
        <v>87</v>
      </c>
      <c r="D6" s="3"/>
      <c r="E6" s="9" t="s">
        <v>86</v>
      </c>
      <c r="F6" s="3"/>
      <c r="G6" s="9" t="s">
        <v>62</v>
      </c>
      <c r="H6" s="3"/>
      <c r="I6" s="9" t="s">
        <v>63</v>
      </c>
      <c r="J6" s="3"/>
      <c r="K6" s="9" t="s">
        <v>85</v>
      </c>
      <c r="L6" s="3"/>
      <c r="M6" s="9" t="s">
        <v>88</v>
      </c>
    </row>
    <row r="7" spans="1:13" x14ac:dyDescent="0.25">
      <c r="A7" s="4" t="s">
        <v>65</v>
      </c>
      <c r="B7" s="4"/>
      <c r="C7" s="26">
        <f>+'Conv Debt'!E18</f>
        <v>5000</v>
      </c>
      <c r="D7" s="4"/>
      <c r="E7" s="26" t="e">
        <f>+'Conv Debt'!L18</f>
        <v>#REF!</v>
      </c>
      <c r="F7" s="4"/>
      <c r="G7" s="26" t="e">
        <f>+'Conv Debt'!N18</f>
        <v>#REF!</v>
      </c>
      <c r="H7" s="4"/>
      <c r="I7" s="29" t="e">
        <f t="shared" ref="I7:I32" si="0">ROUNDDOWN(G7/$C$4,0)</f>
        <v>#REF!</v>
      </c>
      <c r="J7" s="4"/>
      <c r="K7" s="26" t="e">
        <f t="shared" ref="K7:K32" si="1">ROUND(+G7-I7*$C$4,2)</f>
        <v>#REF!</v>
      </c>
      <c r="L7" s="4"/>
      <c r="M7" s="1" t="e">
        <f>+I7/#REF!</f>
        <v>#REF!</v>
      </c>
    </row>
    <row r="8" spans="1:13" x14ac:dyDescent="0.25">
      <c r="A8" s="4" t="s">
        <v>66</v>
      </c>
      <c r="B8" s="4"/>
      <c r="C8" s="26">
        <f>+'Conv Debt'!E7+'Conv Debt'!E29+'Conv Debt'!E34+'Conv Debt'!E36</f>
        <v>140000</v>
      </c>
      <c r="D8" s="4"/>
      <c r="E8" s="26" t="e">
        <f>+'Conv Debt'!L7+'Conv Debt'!L29+'Conv Debt'!L34+'Conv Debt'!L36</f>
        <v>#REF!</v>
      </c>
      <c r="G8" s="26" t="e">
        <f>+'Conv Debt'!N7+'Conv Debt'!N29+'Conv Debt'!N34+'Conv Debt'!N36</f>
        <v>#REF!</v>
      </c>
      <c r="I8" s="29" t="e">
        <f t="shared" si="0"/>
        <v>#REF!</v>
      </c>
      <c r="K8" s="26" t="e">
        <f t="shared" si="1"/>
        <v>#REF!</v>
      </c>
      <c r="M8" s="1" t="e">
        <f>+I8/#REF!</f>
        <v>#REF!</v>
      </c>
    </row>
    <row r="9" spans="1:13" x14ac:dyDescent="0.25">
      <c r="A9" s="4" t="s">
        <v>67</v>
      </c>
      <c r="B9" s="4"/>
      <c r="C9" s="26">
        <f>+'Conv Debt'!E19+'Conv Debt'!E44</f>
        <v>10000</v>
      </c>
      <c r="D9" s="4"/>
      <c r="E9" s="26" t="e">
        <f>+'Conv Debt'!L19+'Conv Debt'!L44</f>
        <v>#REF!</v>
      </c>
      <c r="F9" s="4"/>
      <c r="G9" s="26" t="e">
        <f>+'Conv Debt'!N19+'Conv Debt'!N44</f>
        <v>#REF!</v>
      </c>
      <c r="H9" s="4"/>
      <c r="I9" s="29" t="e">
        <f t="shared" si="0"/>
        <v>#REF!</v>
      </c>
      <c r="J9" s="4"/>
      <c r="K9" s="26" t="e">
        <f t="shared" si="1"/>
        <v>#REF!</v>
      </c>
      <c r="L9" s="4"/>
      <c r="M9" s="1" t="e">
        <f>+I9/#REF!</f>
        <v>#REF!</v>
      </c>
    </row>
    <row r="10" spans="1:13" x14ac:dyDescent="0.25">
      <c r="A10" s="4" t="s">
        <v>68</v>
      </c>
      <c r="B10" s="4"/>
      <c r="C10" s="26">
        <f>+'Conv Debt'!E20</f>
        <v>5000</v>
      </c>
      <c r="D10" s="4"/>
      <c r="E10" s="26" t="e">
        <f>+'Conv Debt'!L20</f>
        <v>#REF!</v>
      </c>
      <c r="F10" s="4"/>
      <c r="G10" s="26" t="e">
        <f>+'Conv Debt'!N20</f>
        <v>#REF!</v>
      </c>
      <c r="H10" s="4"/>
      <c r="I10" s="29" t="e">
        <f t="shared" si="0"/>
        <v>#REF!</v>
      </c>
      <c r="J10" s="4"/>
      <c r="K10" s="26" t="e">
        <f t="shared" si="1"/>
        <v>#REF!</v>
      </c>
      <c r="L10" s="4"/>
      <c r="M10" s="1" t="e">
        <f>+I10/#REF!</f>
        <v>#REF!</v>
      </c>
    </row>
    <row r="11" spans="1:13" x14ac:dyDescent="0.25">
      <c r="A11" s="4" t="s">
        <v>69</v>
      </c>
      <c r="B11" s="4"/>
      <c r="C11" s="26">
        <f>+'Conv Debt'!E27</f>
        <v>25000</v>
      </c>
      <c r="D11" s="4"/>
      <c r="E11" s="26" t="e">
        <f>+'Conv Debt'!L27</f>
        <v>#REF!</v>
      </c>
      <c r="F11" s="4"/>
      <c r="G11" s="26" t="e">
        <f>+'Conv Debt'!N27</f>
        <v>#REF!</v>
      </c>
      <c r="H11" s="4"/>
      <c r="I11" s="29" t="e">
        <f t="shared" si="0"/>
        <v>#REF!</v>
      </c>
      <c r="J11" s="4"/>
      <c r="K11" s="26" t="e">
        <f t="shared" si="1"/>
        <v>#REF!</v>
      </c>
      <c r="L11" s="4"/>
      <c r="M11" s="1" t="e">
        <f>+I11/#REF!</f>
        <v>#REF!</v>
      </c>
    </row>
    <row r="12" spans="1:13" x14ac:dyDescent="0.25">
      <c r="A12" s="4" t="s">
        <v>70</v>
      </c>
      <c r="B12" s="4"/>
      <c r="C12" s="26">
        <f>+'Conv Debt'!E8</f>
        <v>10000</v>
      </c>
      <c r="D12" s="4"/>
      <c r="E12" s="26" t="e">
        <f>+'Conv Debt'!L8</f>
        <v>#REF!</v>
      </c>
      <c r="G12" s="26" t="e">
        <f>+'Conv Debt'!N8</f>
        <v>#REF!</v>
      </c>
      <c r="I12" s="29" t="e">
        <f t="shared" si="0"/>
        <v>#REF!</v>
      </c>
      <c r="K12" s="26" t="e">
        <f t="shared" si="1"/>
        <v>#REF!</v>
      </c>
      <c r="M12" s="1" t="e">
        <f>+I12/#REF!</f>
        <v>#REF!</v>
      </c>
    </row>
    <row r="13" spans="1:13" x14ac:dyDescent="0.25">
      <c r="A13" s="4" t="s">
        <v>71</v>
      </c>
      <c r="B13" s="4"/>
      <c r="C13" s="26">
        <f>+'Conv Debt'!E32</f>
        <v>60000</v>
      </c>
      <c r="D13" s="4"/>
      <c r="E13" s="26" t="e">
        <f>+'Conv Debt'!L32</f>
        <v>#REF!</v>
      </c>
      <c r="F13" s="4"/>
      <c r="G13" s="26" t="e">
        <f>+'Conv Debt'!N32</f>
        <v>#REF!</v>
      </c>
      <c r="H13" s="4"/>
      <c r="I13" s="29" t="e">
        <f t="shared" si="0"/>
        <v>#REF!</v>
      </c>
      <c r="J13" s="4"/>
      <c r="K13" s="26" t="e">
        <f t="shared" si="1"/>
        <v>#REF!</v>
      </c>
      <c r="L13" s="4"/>
      <c r="M13" s="1" t="e">
        <f>+I13/#REF!</f>
        <v>#REF!</v>
      </c>
    </row>
    <row r="14" spans="1:13" x14ac:dyDescent="0.25">
      <c r="A14" s="4" t="s">
        <v>53</v>
      </c>
      <c r="B14" s="4"/>
      <c r="C14" s="26">
        <f>+'Conv Debt'!E40</f>
        <v>25000</v>
      </c>
      <c r="D14" s="4"/>
      <c r="E14" s="26" t="e">
        <f>+'Conv Debt'!L40</f>
        <v>#REF!</v>
      </c>
      <c r="F14" s="4"/>
      <c r="G14" s="26" t="e">
        <f>+'Conv Debt'!N40</f>
        <v>#REF!</v>
      </c>
      <c r="H14" s="4"/>
      <c r="I14" s="29" t="e">
        <f t="shared" si="0"/>
        <v>#REF!</v>
      </c>
      <c r="J14" s="4"/>
      <c r="K14" s="26" t="e">
        <f t="shared" si="1"/>
        <v>#REF!</v>
      </c>
      <c r="L14" s="4"/>
      <c r="M14" s="1" t="e">
        <f>+I14/#REF!</f>
        <v>#REF!</v>
      </c>
    </row>
    <row r="15" spans="1:13" x14ac:dyDescent="0.25">
      <c r="A15" s="4" t="s">
        <v>72</v>
      </c>
      <c r="B15" s="4"/>
      <c r="C15" s="26">
        <f>+'Conv Debt'!E9</f>
        <v>20000</v>
      </c>
      <c r="D15" s="4"/>
      <c r="E15" s="26" t="e">
        <f>+'Conv Debt'!L9</f>
        <v>#REF!</v>
      </c>
      <c r="G15" s="26" t="e">
        <f>+'Conv Debt'!N9</f>
        <v>#REF!</v>
      </c>
      <c r="I15" s="29" t="e">
        <f t="shared" si="0"/>
        <v>#REF!</v>
      </c>
      <c r="K15" s="26" t="e">
        <f t="shared" si="1"/>
        <v>#REF!</v>
      </c>
      <c r="M15" s="1" t="e">
        <f>+I15/#REF!</f>
        <v>#REF!</v>
      </c>
    </row>
    <row r="16" spans="1:13" x14ac:dyDescent="0.25">
      <c r="A16" s="4" t="s">
        <v>73</v>
      </c>
      <c r="B16" s="4"/>
      <c r="C16" s="26">
        <f>+'Conv Debt'!E21</f>
        <v>5000</v>
      </c>
      <c r="D16" s="4"/>
      <c r="E16" s="26" t="e">
        <f>+'Conv Debt'!L21</f>
        <v>#REF!</v>
      </c>
      <c r="F16" s="4"/>
      <c r="G16" s="26" t="e">
        <f>+'Conv Debt'!N21</f>
        <v>#REF!</v>
      </c>
      <c r="H16" s="4"/>
      <c r="I16" s="29" t="e">
        <f t="shared" si="0"/>
        <v>#REF!</v>
      </c>
      <c r="J16" s="4"/>
      <c r="K16" s="26" t="e">
        <f t="shared" si="1"/>
        <v>#REF!</v>
      </c>
      <c r="L16" s="4"/>
      <c r="M16" s="1" t="e">
        <f>+I16/#REF!</f>
        <v>#REF!</v>
      </c>
    </row>
    <row r="17" spans="1:13" x14ac:dyDescent="0.25">
      <c r="A17" s="4" t="s">
        <v>55</v>
      </c>
      <c r="B17" s="4"/>
      <c r="C17" s="26">
        <f>+'Conv Debt'!E42</f>
        <v>25000</v>
      </c>
      <c r="D17" s="4"/>
      <c r="E17" s="26" t="e">
        <f>+'Conv Debt'!L42</f>
        <v>#REF!</v>
      </c>
      <c r="F17" s="4"/>
      <c r="G17" s="26" t="e">
        <f>+'Conv Debt'!N42</f>
        <v>#REF!</v>
      </c>
      <c r="H17" s="4"/>
      <c r="I17" s="29" t="e">
        <f t="shared" si="0"/>
        <v>#REF!</v>
      </c>
      <c r="J17" s="4"/>
      <c r="K17" s="26" t="e">
        <f t="shared" si="1"/>
        <v>#REF!</v>
      </c>
      <c r="L17" s="4"/>
      <c r="M17" s="1" t="e">
        <f>+I17/#REF!</f>
        <v>#REF!</v>
      </c>
    </row>
    <row r="18" spans="1:13" x14ac:dyDescent="0.25">
      <c r="A18" s="4" t="s">
        <v>74</v>
      </c>
      <c r="B18" s="4"/>
      <c r="C18" s="26">
        <f>+'Conv Debt'!E24+'Conv Debt'!E38</f>
        <v>10000</v>
      </c>
      <c r="D18" s="4"/>
      <c r="E18" s="26" t="e">
        <f>+'Conv Debt'!L24+'Conv Debt'!L38</f>
        <v>#REF!</v>
      </c>
      <c r="F18" s="4"/>
      <c r="G18" s="26" t="e">
        <f>+'Conv Debt'!N24+'Conv Debt'!N38</f>
        <v>#REF!</v>
      </c>
      <c r="H18" s="4"/>
      <c r="I18" s="29" t="e">
        <f t="shared" si="0"/>
        <v>#REF!</v>
      </c>
      <c r="J18" s="4"/>
      <c r="K18" s="26" t="e">
        <f t="shared" si="1"/>
        <v>#REF!</v>
      </c>
      <c r="L18" s="4"/>
      <c r="M18" s="1" t="e">
        <f>+I18/#REF!</f>
        <v>#REF!</v>
      </c>
    </row>
    <row r="19" spans="1:13" x14ac:dyDescent="0.25">
      <c r="A19" s="4" t="s">
        <v>75</v>
      </c>
      <c r="B19" s="4"/>
      <c r="C19" s="26">
        <f>+'Conv Debt'!E15</f>
        <v>15000</v>
      </c>
      <c r="D19" s="4"/>
      <c r="E19" s="26" t="e">
        <f>+'Conv Debt'!L15</f>
        <v>#REF!</v>
      </c>
      <c r="G19" s="26" t="e">
        <f>+'Conv Debt'!N15</f>
        <v>#REF!</v>
      </c>
      <c r="I19" s="29" t="e">
        <f t="shared" si="0"/>
        <v>#REF!</v>
      </c>
      <c r="K19" s="26" t="e">
        <f t="shared" si="1"/>
        <v>#REF!</v>
      </c>
      <c r="M19" s="1" t="e">
        <f>+I19/#REF!</f>
        <v>#REF!</v>
      </c>
    </row>
    <row r="20" spans="1:13" x14ac:dyDescent="0.25">
      <c r="A20" s="4" t="s">
        <v>76</v>
      </c>
      <c r="B20" s="4"/>
      <c r="C20" s="26">
        <f>+'Conv Debt'!E10+'Conv Debt'!E14+'Conv Debt'!E30</f>
        <v>100000</v>
      </c>
      <c r="D20" s="4"/>
      <c r="E20" s="26" t="e">
        <f>+'Conv Debt'!L10+'Conv Debt'!L14+'Conv Debt'!L30</f>
        <v>#REF!</v>
      </c>
      <c r="G20" s="26" t="e">
        <f>+'Conv Debt'!N10+'Conv Debt'!N14+'Conv Debt'!N30</f>
        <v>#REF!</v>
      </c>
      <c r="I20" s="29" t="e">
        <f t="shared" si="0"/>
        <v>#REF!</v>
      </c>
      <c r="K20" s="26" t="e">
        <f t="shared" si="1"/>
        <v>#REF!</v>
      </c>
      <c r="M20" s="1" t="e">
        <f>+I20/#REF!</f>
        <v>#REF!</v>
      </c>
    </row>
    <row r="21" spans="1:13" x14ac:dyDescent="0.25">
      <c r="A21" s="4" t="s">
        <v>77</v>
      </c>
      <c r="B21" s="4"/>
      <c r="C21" s="26">
        <f>+'Conv Debt'!E11+'Conv Debt'!E16+'Conv Debt'!E31</f>
        <v>120000</v>
      </c>
      <c r="D21" s="4"/>
      <c r="E21" s="26" t="e">
        <f>+'Conv Debt'!L11+'Conv Debt'!L16+'Conv Debt'!L31</f>
        <v>#REF!</v>
      </c>
      <c r="G21" s="26" t="e">
        <f>+'Conv Debt'!N11+'Conv Debt'!N16+'Conv Debt'!N31</f>
        <v>#REF!</v>
      </c>
      <c r="I21" s="29" t="e">
        <f t="shared" si="0"/>
        <v>#REF!</v>
      </c>
      <c r="K21" s="26" t="e">
        <f t="shared" si="1"/>
        <v>#REF!</v>
      </c>
      <c r="M21" s="1" t="e">
        <f>+I21/#REF!</f>
        <v>#REF!</v>
      </c>
    </row>
    <row r="22" spans="1:13" x14ac:dyDescent="0.25">
      <c r="A22" s="4" t="s">
        <v>78</v>
      </c>
      <c r="B22" s="4"/>
      <c r="C22" s="26">
        <f>+'Conv Debt'!E22+'Conv Debt'!E45</f>
        <v>10000</v>
      </c>
      <c r="D22" s="4"/>
      <c r="E22" s="26" t="e">
        <f>+'Conv Debt'!L22+'Conv Debt'!L45</f>
        <v>#REF!</v>
      </c>
      <c r="F22" s="4"/>
      <c r="G22" s="26" t="e">
        <f>+'Conv Debt'!N22+'Conv Debt'!N45</f>
        <v>#REF!</v>
      </c>
      <c r="H22" s="4"/>
      <c r="I22" s="29" t="e">
        <f t="shared" si="0"/>
        <v>#REF!</v>
      </c>
      <c r="J22" s="4"/>
      <c r="K22" s="26" t="e">
        <f t="shared" si="1"/>
        <v>#REF!</v>
      </c>
      <c r="L22" s="4"/>
      <c r="M22" s="1" t="e">
        <f>+I22/#REF!</f>
        <v>#REF!</v>
      </c>
    </row>
    <row r="23" spans="1:13" x14ac:dyDescent="0.25">
      <c r="A23" s="4" t="s">
        <v>79</v>
      </c>
      <c r="B23" s="4"/>
      <c r="C23" s="26">
        <f>+'Conv Debt'!E12</f>
        <v>15000</v>
      </c>
      <c r="D23" s="4"/>
      <c r="E23" s="26" t="e">
        <f>+'Conv Debt'!L12</f>
        <v>#REF!</v>
      </c>
      <c r="G23" s="26" t="e">
        <f>+'Conv Debt'!N12</f>
        <v>#REF!</v>
      </c>
      <c r="I23" s="29" t="e">
        <f t="shared" si="0"/>
        <v>#REF!</v>
      </c>
      <c r="K23" s="26" t="e">
        <f t="shared" si="1"/>
        <v>#REF!</v>
      </c>
      <c r="M23" s="1" t="e">
        <f>+I23/#REF!</f>
        <v>#REF!</v>
      </c>
    </row>
    <row r="24" spans="1:13" x14ac:dyDescent="0.25">
      <c r="A24" s="4" t="s">
        <v>80</v>
      </c>
      <c r="B24" s="4"/>
      <c r="C24" s="26">
        <f>+'Conv Debt'!E13</f>
        <v>20000</v>
      </c>
      <c r="D24" s="4"/>
      <c r="E24" s="26" t="e">
        <f>+'Conv Debt'!L13</f>
        <v>#REF!</v>
      </c>
      <c r="G24" s="26" t="e">
        <f>+'Conv Debt'!N13</f>
        <v>#REF!</v>
      </c>
      <c r="I24" s="29" t="e">
        <f t="shared" si="0"/>
        <v>#REF!</v>
      </c>
      <c r="K24" s="26" t="e">
        <f t="shared" si="1"/>
        <v>#REF!</v>
      </c>
      <c r="M24" s="1" t="e">
        <f>+I24/#REF!</f>
        <v>#REF!</v>
      </c>
    </row>
    <row r="25" spans="1:13" x14ac:dyDescent="0.25">
      <c r="A25" s="4" t="s">
        <v>52</v>
      </c>
      <c r="B25" s="4"/>
      <c r="C25" s="26">
        <f>+'Conv Debt'!E35+'Conv Debt'!E39</f>
        <v>500000</v>
      </c>
      <c r="D25" s="4"/>
      <c r="E25" s="26" t="e">
        <f>+'Conv Debt'!L35+'Conv Debt'!L39</f>
        <v>#REF!</v>
      </c>
      <c r="F25" s="4"/>
      <c r="G25" s="26" t="e">
        <f>+'Conv Debt'!N35+'Conv Debt'!N39</f>
        <v>#REF!</v>
      </c>
      <c r="H25" s="4"/>
      <c r="I25" s="29" t="e">
        <f t="shared" si="0"/>
        <v>#REF!</v>
      </c>
      <c r="J25" s="4"/>
      <c r="K25" s="26" t="e">
        <f t="shared" si="1"/>
        <v>#REF!</v>
      </c>
      <c r="L25" s="4"/>
      <c r="M25" s="1" t="e">
        <f>+I25/#REF!</f>
        <v>#REF!</v>
      </c>
    </row>
    <row r="26" spans="1:13" x14ac:dyDescent="0.25">
      <c r="A26" s="4" t="s">
        <v>56</v>
      </c>
      <c r="B26" s="4"/>
      <c r="C26" s="26">
        <f>+'Conv Debt'!E43</f>
        <v>10000</v>
      </c>
      <c r="D26" s="4"/>
      <c r="E26" s="26" t="e">
        <f>+'Conv Debt'!L43</f>
        <v>#REF!</v>
      </c>
      <c r="F26" s="4"/>
      <c r="G26" s="26" t="e">
        <f>+'Conv Debt'!N43</f>
        <v>#REF!</v>
      </c>
      <c r="H26" s="4"/>
      <c r="I26" s="29" t="e">
        <f t="shared" si="0"/>
        <v>#REF!</v>
      </c>
      <c r="J26" s="4"/>
      <c r="K26" s="26" t="e">
        <f t="shared" si="1"/>
        <v>#REF!</v>
      </c>
      <c r="L26" s="4"/>
      <c r="M26" s="1" t="e">
        <f>+I26/#REF!</f>
        <v>#REF!</v>
      </c>
    </row>
    <row r="27" spans="1:13" x14ac:dyDescent="0.25">
      <c r="A27" s="4" t="s">
        <v>54</v>
      </c>
      <c r="B27" s="4"/>
      <c r="C27" s="26">
        <f>+'Conv Debt'!E41</f>
        <v>25000</v>
      </c>
      <c r="D27" s="4"/>
      <c r="E27" s="26" t="e">
        <f>+'Conv Debt'!L41</f>
        <v>#REF!</v>
      </c>
      <c r="F27" s="4"/>
      <c r="G27" s="26" t="e">
        <f>+'Conv Debt'!N41</f>
        <v>#REF!</v>
      </c>
      <c r="H27" s="4"/>
      <c r="I27" s="29" t="e">
        <f t="shared" si="0"/>
        <v>#REF!</v>
      </c>
      <c r="J27" s="4"/>
      <c r="K27" s="26" t="e">
        <f t="shared" si="1"/>
        <v>#REF!</v>
      </c>
      <c r="L27" s="4"/>
      <c r="M27" s="1" t="e">
        <f>+I27/#REF!</f>
        <v>#REF!</v>
      </c>
    </row>
    <row r="28" spans="1:13" x14ac:dyDescent="0.25">
      <c r="A28" s="4" t="s">
        <v>89</v>
      </c>
      <c r="B28" s="4"/>
      <c r="C28" s="26">
        <f>+'Conv Debt'!E37</f>
        <v>150000</v>
      </c>
      <c r="D28" s="4"/>
      <c r="E28" s="26" t="e">
        <f>+'Conv Debt'!L37</f>
        <v>#REF!</v>
      </c>
      <c r="G28" s="26" t="e">
        <f>+'Conv Debt'!N37</f>
        <v>#REF!</v>
      </c>
      <c r="I28" s="29" t="e">
        <f t="shared" si="0"/>
        <v>#REF!</v>
      </c>
      <c r="K28" s="26" t="e">
        <f t="shared" si="1"/>
        <v>#REF!</v>
      </c>
      <c r="M28" s="1" t="e">
        <f>+I28/#REF!</f>
        <v>#REF!</v>
      </c>
    </row>
    <row r="29" spans="1:13" x14ac:dyDescent="0.25">
      <c r="A29" s="4" t="s">
        <v>81</v>
      </c>
      <c r="B29" s="4"/>
      <c r="C29" s="26">
        <f>+'Conv Debt'!E17+'Conv Debt'!E28</f>
        <v>250000</v>
      </c>
      <c r="D29" s="4"/>
      <c r="E29" s="26" t="e">
        <f>+'Conv Debt'!L17+'Conv Debt'!L28</f>
        <v>#REF!</v>
      </c>
      <c r="G29" s="26" t="e">
        <f>+'Conv Debt'!N17+'Conv Debt'!N28</f>
        <v>#REF!</v>
      </c>
      <c r="I29" s="29" t="e">
        <f t="shared" ref="I29" si="2">ROUNDDOWN(G29/$C$4,0)</f>
        <v>#REF!</v>
      </c>
      <c r="K29" s="26" t="e">
        <f t="shared" ref="K29" si="3">ROUND(+G29-I29*$C$4,2)</f>
        <v>#REF!</v>
      </c>
      <c r="M29" s="1" t="e">
        <f>+I29/#REF!</f>
        <v>#REF!</v>
      </c>
    </row>
    <row r="30" spans="1:13" x14ac:dyDescent="0.25">
      <c r="A30" s="4" t="s">
        <v>82</v>
      </c>
      <c r="B30" s="4"/>
      <c r="C30" s="26">
        <f>+'Conv Debt'!E25</f>
        <v>5000</v>
      </c>
      <c r="D30" s="4"/>
      <c r="E30" s="26" t="e">
        <f>+'Conv Debt'!L25</f>
        <v>#REF!</v>
      </c>
      <c r="F30" s="4"/>
      <c r="G30" s="26" t="e">
        <f>+'Conv Debt'!N25</f>
        <v>#REF!</v>
      </c>
      <c r="H30" s="4"/>
      <c r="I30" s="29" t="e">
        <f t="shared" si="0"/>
        <v>#REF!</v>
      </c>
      <c r="J30" s="4"/>
      <c r="K30" s="26" t="e">
        <f t="shared" si="1"/>
        <v>#REF!</v>
      </c>
      <c r="L30" s="4"/>
      <c r="M30" s="1" t="e">
        <f>+I30/#REF!</f>
        <v>#REF!</v>
      </c>
    </row>
    <row r="31" spans="1:13" x14ac:dyDescent="0.25">
      <c r="A31" s="4" t="s">
        <v>83</v>
      </c>
      <c r="B31" s="4"/>
      <c r="C31" s="26">
        <f>+'Conv Debt'!E23</f>
        <v>5000</v>
      </c>
      <c r="D31" s="4"/>
      <c r="E31" s="26" t="e">
        <f>+'Conv Debt'!L23</f>
        <v>#REF!</v>
      </c>
      <c r="F31" s="4"/>
      <c r="G31" s="26" t="e">
        <f>+'Conv Debt'!N23</f>
        <v>#REF!</v>
      </c>
      <c r="H31" s="4"/>
      <c r="I31" s="29" t="e">
        <f t="shared" si="0"/>
        <v>#REF!</v>
      </c>
      <c r="J31" s="4"/>
      <c r="K31" s="26" t="e">
        <f t="shared" si="1"/>
        <v>#REF!</v>
      </c>
      <c r="L31" s="4"/>
      <c r="M31" s="1" t="e">
        <f>+I31/#REF!</f>
        <v>#REF!</v>
      </c>
    </row>
    <row r="32" spans="1:13" x14ac:dyDescent="0.25">
      <c r="A32" s="4" t="s">
        <v>84</v>
      </c>
      <c r="B32" s="4"/>
      <c r="C32" s="26">
        <f>+'Conv Debt'!E33</f>
        <v>50000</v>
      </c>
      <c r="D32" s="4"/>
      <c r="E32" s="26" t="e">
        <f>+'Conv Debt'!L33</f>
        <v>#REF!</v>
      </c>
      <c r="F32" s="4"/>
      <c r="G32" s="26" t="e">
        <f>+'Conv Debt'!N33</f>
        <v>#REF!</v>
      </c>
      <c r="H32" s="4"/>
      <c r="I32" s="29" t="e">
        <f t="shared" si="0"/>
        <v>#REF!</v>
      </c>
      <c r="J32" s="4"/>
      <c r="K32" s="26" t="e">
        <f t="shared" si="1"/>
        <v>#REF!</v>
      </c>
      <c r="L32" s="4"/>
      <c r="M32" s="1" t="e">
        <f>+I32/#REF!</f>
        <v>#REF!</v>
      </c>
    </row>
    <row r="33" spans="1:12" x14ac:dyDescent="0.25">
      <c r="A33" s="4"/>
      <c r="B33" s="4"/>
      <c r="C33" s="26"/>
      <c r="D33" s="4"/>
      <c r="E33" s="26"/>
      <c r="F33" s="4"/>
      <c r="G33" s="26"/>
      <c r="H33" s="4"/>
      <c r="I33" s="29"/>
      <c r="J33" s="4"/>
      <c r="K33" s="28"/>
      <c r="L33" s="4"/>
    </row>
    <row r="34" spans="1:12" ht="13" thickBot="1" x14ac:dyDescent="0.3">
      <c r="C34" s="27">
        <f>SUM(C7:C33)</f>
        <v>1615000</v>
      </c>
      <c r="E34" s="27" t="e">
        <f>SUM(E7:E33)</f>
        <v>#REF!</v>
      </c>
      <c r="G34" s="27" t="e">
        <f>SUM(G7:G33)</f>
        <v>#REF!</v>
      </c>
      <c r="I34" s="30" t="e">
        <f>SUM(I7:I33)</f>
        <v>#REF!</v>
      </c>
      <c r="K34" s="27" t="e">
        <f>SUM(K7:K33)</f>
        <v>#REF!</v>
      </c>
    </row>
    <row r="35" spans="1:12" ht="13" thickTop="1" x14ac:dyDescent="0.25"/>
    <row r="36" spans="1:12" x14ac:dyDescent="0.25">
      <c r="A36" s="4"/>
    </row>
    <row r="37" spans="1:12" x14ac:dyDescent="0.25">
      <c r="A37" s="4"/>
    </row>
  </sheetData>
  <sortState xmlns:xlrd2="http://schemas.microsoft.com/office/spreadsheetml/2017/richdata2" ref="A7:X45">
    <sortCondition ref="A7:A45"/>
  </sortState>
  <phoneticPr fontId="1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5" sqref="A5"/>
      <selection pane="bottomRight" activeCell="S21" sqref="S21:S28"/>
    </sheetView>
  </sheetViews>
  <sheetFormatPr defaultColWidth="11.453125" defaultRowHeight="13" x14ac:dyDescent="0.3"/>
  <cols>
    <col min="1" max="1" width="35.6328125" style="44" customWidth="1"/>
    <col min="2" max="2" width="12.7265625" style="44" customWidth="1"/>
    <col min="3" max="3" width="13.81640625" style="44" customWidth="1"/>
    <col min="4" max="4" width="12.453125" style="44" customWidth="1"/>
    <col min="5" max="5" width="15.26953125" style="44" customWidth="1"/>
    <col min="6" max="6" width="1.453125" style="44" customWidth="1"/>
    <col min="7" max="7" width="11.7265625" style="44" customWidth="1"/>
    <col min="8" max="8" width="12.6328125" style="44" customWidth="1"/>
    <col min="9" max="9" width="12.54296875" style="44" customWidth="1"/>
    <col min="10" max="10" width="12.7265625" style="44" customWidth="1"/>
    <col min="11" max="11" width="15.1796875" style="44" customWidth="1"/>
    <col min="12" max="12" width="17" style="44" customWidth="1"/>
    <col min="13" max="13" width="15.7265625" style="44" customWidth="1"/>
    <col min="14" max="14" width="0.90625" style="44" customWidth="1"/>
    <col min="15" max="16" width="11.453125" style="44"/>
    <col min="17" max="17" width="0.90625" style="44" customWidth="1"/>
    <col min="18" max="18" width="14.453125" style="44" customWidth="1"/>
    <col min="19" max="19" width="15" style="44" customWidth="1"/>
    <col min="20" max="20" width="18.453125" style="44" customWidth="1"/>
    <col min="21" max="16384" width="11.453125" style="44"/>
  </cols>
  <sheetData>
    <row r="1" spans="1:20" x14ac:dyDescent="0.3">
      <c r="D1" s="45" t="s">
        <v>117</v>
      </c>
      <c r="E1" s="44">
        <v>1</v>
      </c>
      <c r="G1" s="44" t="s">
        <v>95</v>
      </c>
      <c r="J1" s="46">
        <f>G5/4</f>
        <v>0.348275</v>
      </c>
    </row>
    <row r="2" spans="1:20" x14ac:dyDescent="0.3">
      <c r="D2" s="45" t="s">
        <v>116</v>
      </c>
      <c r="E2" s="47">
        <v>8000000</v>
      </c>
      <c r="J2" s="48"/>
    </row>
    <row r="3" spans="1:20" x14ac:dyDescent="0.3">
      <c r="D3" s="45" t="s">
        <v>114</v>
      </c>
      <c r="E3" s="49">
        <f>'Convertible Debt'!I11</f>
        <v>944041.09589041094</v>
      </c>
      <c r="J3" s="48"/>
    </row>
    <row r="4" spans="1:20" x14ac:dyDescent="0.3">
      <c r="D4" s="45" t="s">
        <v>115</v>
      </c>
      <c r="E4" s="49">
        <f>E2-E3</f>
        <v>7055958.9041095888</v>
      </c>
      <c r="J4" s="48"/>
    </row>
    <row r="5" spans="1:20" x14ac:dyDescent="0.3">
      <c r="D5" s="45" t="s">
        <v>118</v>
      </c>
      <c r="E5" s="50">
        <f>E4/D30</f>
        <v>1.3930817184816562</v>
      </c>
      <c r="G5" s="51">
        <f>ROUND(E5,4)</f>
        <v>1.3931</v>
      </c>
    </row>
    <row r="6" spans="1:20" x14ac:dyDescent="0.3">
      <c r="D6" s="45" t="s">
        <v>119</v>
      </c>
      <c r="E6" s="52">
        <v>1</v>
      </c>
    </row>
    <row r="7" spans="1:20" ht="69" customHeight="1" x14ac:dyDescent="0.3">
      <c r="A7" s="53" t="s">
        <v>90</v>
      </c>
      <c r="B7" s="53" t="s">
        <v>91</v>
      </c>
      <c r="C7" s="53" t="s">
        <v>92</v>
      </c>
      <c r="D7" s="53" t="s">
        <v>140</v>
      </c>
      <c r="E7" s="53" t="s">
        <v>141</v>
      </c>
      <c r="F7" s="54"/>
      <c r="G7" s="53" t="s">
        <v>142</v>
      </c>
      <c r="H7" s="53" t="s">
        <v>143</v>
      </c>
      <c r="I7" s="53" t="s">
        <v>144</v>
      </c>
      <c r="J7" s="53" t="s">
        <v>145</v>
      </c>
      <c r="K7" s="53" t="s">
        <v>146</v>
      </c>
      <c r="L7" s="53" t="s">
        <v>2</v>
      </c>
      <c r="M7" s="53" t="s">
        <v>3</v>
      </c>
      <c r="N7" s="55"/>
      <c r="O7" s="53" t="s">
        <v>4</v>
      </c>
      <c r="P7" s="53" t="s">
        <v>5</v>
      </c>
      <c r="Q7" s="55"/>
      <c r="R7" s="56" t="s">
        <v>13</v>
      </c>
      <c r="S7" s="56" t="s">
        <v>110</v>
      </c>
      <c r="T7" s="57" t="s">
        <v>111</v>
      </c>
    </row>
    <row r="8" spans="1:20" x14ac:dyDescent="0.3">
      <c r="A8" s="82" t="s">
        <v>96</v>
      </c>
      <c r="B8" s="58">
        <v>2300000</v>
      </c>
      <c r="C8" s="58"/>
      <c r="D8" s="58">
        <f>SUM(B8:C8)</f>
        <v>2300000</v>
      </c>
      <c r="E8" s="59">
        <f t="shared" ref="E8:E28" si="0">D8/D$30</f>
        <v>0.45409674234945707</v>
      </c>
      <c r="F8" s="60"/>
      <c r="G8" s="58"/>
      <c r="H8" s="58"/>
      <c r="I8" s="58"/>
      <c r="J8" s="58"/>
      <c r="K8" s="58"/>
      <c r="L8" s="58">
        <f>B8+C8+H8+J8</f>
        <v>2300000</v>
      </c>
      <c r="M8" s="61">
        <f>L8/L$30</f>
        <v>0.34086153591729518</v>
      </c>
      <c r="N8" s="55"/>
      <c r="O8" s="58">
        <f t="shared" ref="O8:O19" si="1">K8</f>
        <v>0</v>
      </c>
      <c r="P8" s="61">
        <f t="shared" ref="P8:P19" si="2">O8/$O$30</f>
        <v>0</v>
      </c>
      <c r="Q8" s="55"/>
      <c r="R8" s="49">
        <v>1</v>
      </c>
      <c r="S8" s="62">
        <f>(B8+C8+K8)*C$43+(K8*G$5*E$6)</f>
        <v>12494606.452576047</v>
      </c>
      <c r="T8" s="62">
        <f>L8*C$52</f>
        <v>13293599.900774511</v>
      </c>
    </row>
    <row r="9" spans="1:20" x14ac:dyDescent="0.3">
      <c r="A9" s="82" t="s">
        <v>97</v>
      </c>
      <c r="B9" s="58">
        <v>1400000</v>
      </c>
      <c r="C9" s="58"/>
      <c r="D9" s="58">
        <f t="shared" ref="D9:D28" si="3">SUM(B9:C9)</f>
        <v>1400000</v>
      </c>
      <c r="E9" s="59">
        <f t="shared" si="0"/>
        <v>0.27640671273445211</v>
      </c>
      <c r="F9" s="60"/>
      <c r="G9" s="58"/>
      <c r="H9" s="58"/>
      <c r="I9" s="58"/>
      <c r="J9" s="58"/>
      <c r="K9" s="58"/>
      <c r="L9" s="58">
        <f t="shared" ref="L9:L28" si="4">B9+C9+H9+J9</f>
        <v>1400000</v>
      </c>
      <c r="M9" s="61">
        <f t="shared" ref="M9:M28" si="5">L9/L$30</f>
        <v>0.20748093490617966</v>
      </c>
      <c r="N9" s="55"/>
      <c r="O9" s="58">
        <f t="shared" si="1"/>
        <v>0</v>
      </c>
      <c r="P9" s="61">
        <f t="shared" si="2"/>
        <v>0</v>
      </c>
      <c r="Q9" s="55"/>
      <c r="R9" s="49">
        <v>1</v>
      </c>
      <c r="S9" s="62">
        <f t="shared" ref="S9:S28" si="6">(B9+C9+K9)*C$43+(K9*G$5*E$6)</f>
        <v>7605412.6233071592</v>
      </c>
      <c r="T9" s="62">
        <f t="shared" ref="T9:T28" si="7">L9*C$52</f>
        <v>8091756.4613410067</v>
      </c>
    </row>
    <row r="10" spans="1:20" x14ac:dyDescent="0.3">
      <c r="A10" s="82" t="s">
        <v>98</v>
      </c>
      <c r="B10" s="58">
        <v>100000</v>
      </c>
      <c r="C10" s="58"/>
      <c r="D10" s="58">
        <f t="shared" si="3"/>
        <v>100000</v>
      </c>
      <c r="E10" s="59">
        <f t="shared" si="0"/>
        <v>1.9743336623889437E-2</v>
      </c>
      <c r="F10" s="60"/>
      <c r="G10" s="58"/>
      <c r="H10" s="58"/>
      <c r="I10" s="58"/>
      <c r="J10" s="58"/>
      <c r="K10" s="58"/>
      <c r="L10" s="58">
        <f t="shared" si="4"/>
        <v>100000</v>
      </c>
      <c r="M10" s="61">
        <f t="shared" si="5"/>
        <v>1.4820066779012833E-2</v>
      </c>
      <c r="N10" s="55"/>
      <c r="O10" s="58">
        <f t="shared" si="1"/>
        <v>0</v>
      </c>
      <c r="P10" s="61">
        <f t="shared" si="2"/>
        <v>0</v>
      </c>
      <c r="Q10" s="55"/>
      <c r="R10" s="49">
        <v>1</v>
      </c>
      <c r="S10" s="62">
        <f t="shared" si="6"/>
        <v>543243.75880765426</v>
      </c>
      <c r="T10" s="62">
        <f t="shared" si="7"/>
        <v>577982.60438150051</v>
      </c>
    </row>
    <row r="11" spans="1:20" x14ac:dyDescent="0.3">
      <c r="A11" s="82" t="s">
        <v>99</v>
      </c>
      <c r="B11" s="58">
        <v>130000</v>
      </c>
      <c r="C11" s="58"/>
      <c r="D11" s="58">
        <f t="shared" si="3"/>
        <v>130000</v>
      </c>
      <c r="E11" s="59">
        <f t="shared" si="0"/>
        <v>2.5666337611056269E-2</v>
      </c>
      <c r="F11" s="60"/>
      <c r="G11" s="58"/>
      <c r="H11" s="58"/>
      <c r="I11" s="58"/>
      <c r="J11" s="58"/>
      <c r="K11" s="58"/>
      <c r="L11" s="58">
        <f t="shared" si="4"/>
        <v>130000</v>
      </c>
      <c r="M11" s="61">
        <f t="shared" si="5"/>
        <v>1.9266086812716684E-2</v>
      </c>
      <c r="N11" s="55"/>
      <c r="O11" s="58">
        <f t="shared" si="1"/>
        <v>0</v>
      </c>
      <c r="P11" s="61">
        <f t="shared" si="2"/>
        <v>0</v>
      </c>
      <c r="Q11" s="55"/>
      <c r="R11" s="49">
        <v>1</v>
      </c>
      <c r="S11" s="62">
        <f t="shared" si="6"/>
        <v>706216.88644995051</v>
      </c>
      <c r="T11" s="62">
        <f t="shared" si="7"/>
        <v>751377.38569595059</v>
      </c>
    </row>
    <row r="12" spans="1:20" x14ac:dyDescent="0.3">
      <c r="A12" s="82" t="s">
        <v>100</v>
      </c>
      <c r="B12" s="58">
        <v>259000</v>
      </c>
      <c r="C12" s="58"/>
      <c r="D12" s="58">
        <f t="shared" si="3"/>
        <v>259000</v>
      </c>
      <c r="E12" s="59">
        <f t="shared" si="0"/>
        <v>5.1135241855873641E-2</v>
      </c>
      <c r="F12" s="60"/>
      <c r="G12" s="58"/>
      <c r="H12" s="58"/>
      <c r="I12" s="58"/>
      <c r="J12" s="58"/>
      <c r="K12" s="58"/>
      <c r="L12" s="58">
        <f t="shared" si="4"/>
        <v>259000</v>
      </c>
      <c r="M12" s="61">
        <f t="shared" si="5"/>
        <v>3.8383972957643238E-2</v>
      </c>
      <c r="N12" s="55"/>
      <c r="O12" s="58">
        <f t="shared" si="1"/>
        <v>0</v>
      </c>
      <c r="P12" s="61">
        <f t="shared" si="2"/>
        <v>0</v>
      </c>
      <c r="Q12" s="55"/>
      <c r="R12" s="49">
        <v>1</v>
      </c>
      <c r="S12" s="62">
        <f t="shared" si="6"/>
        <v>1407001.3353118245</v>
      </c>
      <c r="T12" s="62">
        <f t="shared" si="7"/>
        <v>1496974.9453480863</v>
      </c>
    </row>
    <row r="13" spans="1:20" x14ac:dyDescent="0.3">
      <c r="A13" s="82" t="s">
        <v>101</v>
      </c>
      <c r="B13" s="58">
        <v>30000</v>
      </c>
      <c r="C13" s="58"/>
      <c r="D13" s="58">
        <f t="shared" si="3"/>
        <v>30000</v>
      </c>
      <c r="E13" s="59">
        <f t="shared" si="0"/>
        <v>5.9230009871668312E-3</v>
      </c>
      <c r="F13" s="60"/>
      <c r="G13" s="58"/>
      <c r="H13" s="58"/>
      <c r="I13" s="58"/>
      <c r="J13" s="58"/>
      <c r="K13" s="58"/>
      <c r="L13" s="58">
        <f t="shared" si="4"/>
        <v>30000</v>
      </c>
      <c r="M13" s="61">
        <f t="shared" si="5"/>
        <v>4.4460200337038498E-3</v>
      </c>
      <c r="N13" s="55"/>
      <c r="O13" s="58">
        <f t="shared" si="1"/>
        <v>0</v>
      </c>
      <c r="P13" s="61">
        <f t="shared" si="2"/>
        <v>0</v>
      </c>
      <c r="Q13" s="55"/>
      <c r="R13" s="49">
        <v>1</v>
      </c>
      <c r="S13" s="62">
        <f t="shared" si="6"/>
        <v>162973.12764229628</v>
      </c>
      <c r="T13" s="62">
        <f t="shared" si="7"/>
        <v>173394.78131445014</v>
      </c>
    </row>
    <row r="14" spans="1:20" x14ac:dyDescent="0.3">
      <c r="A14" s="82" t="s">
        <v>102</v>
      </c>
      <c r="B14" s="58">
        <v>45000</v>
      </c>
      <c r="C14" s="58">
        <v>40000</v>
      </c>
      <c r="D14" s="58">
        <f t="shared" si="3"/>
        <v>85000</v>
      </c>
      <c r="E14" s="59">
        <f t="shared" si="0"/>
        <v>1.6781836130306021E-2</v>
      </c>
      <c r="F14" s="60"/>
      <c r="G14" s="58"/>
      <c r="H14" s="58"/>
      <c r="I14" s="58"/>
      <c r="J14" s="58"/>
      <c r="K14" s="58"/>
      <c r="L14" s="58">
        <f t="shared" si="4"/>
        <v>85000</v>
      </c>
      <c r="M14" s="61">
        <f t="shared" si="5"/>
        <v>1.259705676216091E-2</v>
      </c>
      <c r="N14" s="55"/>
      <c r="O14" s="58">
        <f t="shared" si="1"/>
        <v>0</v>
      </c>
      <c r="P14" s="61">
        <f t="shared" si="2"/>
        <v>0</v>
      </c>
      <c r="Q14" s="55"/>
      <c r="R14" s="49">
        <f t="shared" ref="R14:R19" si="8">J$1*C14</f>
        <v>13931</v>
      </c>
      <c r="S14" s="62">
        <f t="shared" si="6"/>
        <v>461757.19498650607</v>
      </c>
      <c r="T14" s="62">
        <f t="shared" si="7"/>
        <v>491285.21372427541</v>
      </c>
    </row>
    <row r="15" spans="1:20" x14ac:dyDescent="0.3">
      <c r="A15" s="82" t="s">
        <v>103</v>
      </c>
      <c r="B15" s="58"/>
      <c r="C15" s="58">
        <v>20000</v>
      </c>
      <c r="D15" s="58">
        <f t="shared" si="3"/>
        <v>20000</v>
      </c>
      <c r="E15" s="59">
        <f t="shared" si="0"/>
        <v>3.9486673247778872E-3</v>
      </c>
      <c r="F15" s="60"/>
      <c r="G15" s="58"/>
      <c r="H15" s="58"/>
      <c r="I15" s="58"/>
      <c r="J15" s="58"/>
      <c r="K15" s="58"/>
      <c r="L15" s="58">
        <f t="shared" si="4"/>
        <v>20000</v>
      </c>
      <c r="M15" s="61">
        <f t="shared" si="5"/>
        <v>2.9640133558025668E-3</v>
      </c>
      <c r="N15" s="55"/>
      <c r="O15" s="58">
        <f t="shared" si="1"/>
        <v>0</v>
      </c>
      <c r="P15" s="61">
        <f t="shared" si="2"/>
        <v>0</v>
      </c>
      <c r="Q15" s="55"/>
      <c r="R15" s="49">
        <f t="shared" si="8"/>
        <v>6965.5</v>
      </c>
      <c r="S15" s="62">
        <f t="shared" si="6"/>
        <v>108648.75176153085</v>
      </c>
      <c r="T15" s="62">
        <f t="shared" si="7"/>
        <v>115596.5208763001</v>
      </c>
    </row>
    <row r="16" spans="1:20" x14ac:dyDescent="0.3">
      <c r="A16" s="82" t="s">
        <v>104</v>
      </c>
      <c r="B16" s="58"/>
      <c r="C16" s="58">
        <v>13000</v>
      </c>
      <c r="D16" s="58">
        <f t="shared" si="3"/>
        <v>13000</v>
      </c>
      <c r="E16" s="59">
        <f t="shared" si="0"/>
        <v>2.5666337611056269E-3</v>
      </c>
      <c r="F16" s="60"/>
      <c r="G16" s="58"/>
      <c r="H16" s="58"/>
      <c r="I16" s="58"/>
      <c r="J16" s="58"/>
      <c r="K16" s="58"/>
      <c r="L16" s="58">
        <f t="shared" si="4"/>
        <v>13000</v>
      </c>
      <c r="M16" s="61">
        <f t="shared" si="5"/>
        <v>1.9266086812716684E-3</v>
      </c>
      <c r="N16" s="55"/>
      <c r="O16" s="58">
        <f t="shared" si="1"/>
        <v>0</v>
      </c>
      <c r="P16" s="61">
        <f t="shared" si="2"/>
        <v>0</v>
      </c>
      <c r="Q16" s="55"/>
      <c r="R16" s="49">
        <f t="shared" si="8"/>
        <v>4527.5749999999998</v>
      </c>
      <c r="S16" s="62">
        <f t="shared" si="6"/>
        <v>70621.688644995054</v>
      </c>
      <c r="T16" s="62">
        <f t="shared" si="7"/>
        <v>75137.738569595065</v>
      </c>
    </row>
    <row r="17" spans="1:20" x14ac:dyDescent="0.3">
      <c r="A17" s="82" t="s">
        <v>105</v>
      </c>
      <c r="B17" s="58"/>
      <c r="C17" s="58">
        <v>24000</v>
      </c>
      <c r="D17" s="58">
        <f t="shared" si="3"/>
        <v>24000</v>
      </c>
      <c r="E17" s="59">
        <f t="shared" si="0"/>
        <v>4.7384007897334646E-3</v>
      </c>
      <c r="F17" s="60"/>
      <c r="G17" s="58"/>
      <c r="H17" s="58"/>
      <c r="I17" s="58"/>
      <c r="J17" s="58"/>
      <c r="K17" s="58"/>
      <c r="L17" s="58">
        <f t="shared" si="4"/>
        <v>24000</v>
      </c>
      <c r="M17" s="61">
        <f t="shared" si="5"/>
        <v>3.5568160269630802E-3</v>
      </c>
      <c r="N17" s="55"/>
      <c r="O17" s="58">
        <f t="shared" si="1"/>
        <v>0</v>
      </c>
      <c r="P17" s="61">
        <f t="shared" si="2"/>
        <v>0</v>
      </c>
      <c r="Q17" s="55"/>
      <c r="R17" s="49">
        <f t="shared" si="8"/>
        <v>8358.6</v>
      </c>
      <c r="S17" s="62">
        <f t="shared" si="6"/>
        <v>130378.50211383702</v>
      </c>
      <c r="T17" s="62">
        <f t="shared" si="7"/>
        <v>138715.82505156012</v>
      </c>
    </row>
    <row r="18" spans="1:20" x14ac:dyDescent="0.3">
      <c r="A18" s="82" t="s">
        <v>106</v>
      </c>
      <c r="B18" s="58"/>
      <c r="C18" s="58">
        <v>4000</v>
      </c>
      <c r="D18" s="58">
        <f t="shared" si="3"/>
        <v>4000</v>
      </c>
      <c r="E18" s="59">
        <f t="shared" si="0"/>
        <v>7.8973346495557744E-4</v>
      </c>
      <c r="F18" s="60"/>
      <c r="G18" s="58"/>
      <c r="H18" s="58"/>
      <c r="I18" s="58"/>
      <c r="J18" s="58"/>
      <c r="K18" s="58"/>
      <c r="L18" s="58">
        <f t="shared" si="4"/>
        <v>4000</v>
      </c>
      <c r="M18" s="61">
        <f t="shared" si="5"/>
        <v>5.9280267116051336E-4</v>
      </c>
      <c r="N18" s="55"/>
      <c r="O18" s="58">
        <f t="shared" si="1"/>
        <v>0</v>
      </c>
      <c r="P18" s="61">
        <f t="shared" si="2"/>
        <v>0</v>
      </c>
      <c r="Q18" s="55"/>
      <c r="R18" s="49">
        <f t="shared" si="8"/>
        <v>1393.1</v>
      </c>
      <c r="S18" s="62">
        <f t="shared" si="6"/>
        <v>21729.750352306168</v>
      </c>
      <c r="T18" s="62">
        <f t="shared" si="7"/>
        <v>23119.304175260018</v>
      </c>
    </row>
    <row r="19" spans="1:20" x14ac:dyDescent="0.3">
      <c r="A19" s="82" t="s">
        <v>107</v>
      </c>
      <c r="B19" s="58"/>
      <c r="C19" s="58">
        <v>700000</v>
      </c>
      <c r="D19" s="58">
        <f t="shared" si="3"/>
        <v>700000</v>
      </c>
      <c r="E19" s="59">
        <f t="shared" si="0"/>
        <v>0.13820335636722605</v>
      </c>
      <c r="F19" s="60"/>
      <c r="G19" s="58"/>
      <c r="H19" s="58"/>
      <c r="I19" s="58"/>
      <c r="J19" s="58"/>
      <c r="K19" s="58"/>
      <c r="L19" s="58">
        <f t="shared" si="4"/>
        <v>700000</v>
      </c>
      <c r="M19" s="61">
        <f t="shared" si="5"/>
        <v>0.10374046745308983</v>
      </c>
      <c r="N19" s="55"/>
      <c r="O19" s="58">
        <f t="shared" si="1"/>
        <v>0</v>
      </c>
      <c r="P19" s="61">
        <f t="shared" si="2"/>
        <v>0</v>
      </c>
      <c r="Q19" s="55"/>
      <c r="R19" s="49">
        <f t="shared" si="8"/>
        <v>243792.5</v>
      </c>
      <c r="S19" s="62">
        <f t="shared" si="6"/>
        <v>3802706.3116535796</v>
      </c>
      <c r="T19" s="62">
        <f t="shared" si="7"/>
        <v>4045878.2306705033</v>
      </c>
    </row>
    <row r="20" spans="1:20" x14ac:dyDescent="0.3">
      <c r="A20" s="82"/>
      <c r="B20" s="58"/>
      <c r="C20" s="58"/>
      <c r="D20" s="58">
        <f t="shared" si="3"/>
        <v>0</v>
      </c>
      <c r="E20" s="59">
        <f t="shared" si="0"/>
        <v>0</v>
      </c>
      <c r="F20" s="60"/>
      <c r="G20" s="58"/>
      <c r="H20" s="58"/>
      <c r="I20" s="58"/>
      <c r="J20" s="58"/>
      <c r="K20" s="58"/>
      <c r="L20" s="58">
        <f t="shared" si="4"/>
        <v>0</v>
      </c>
      <c r="M20" s="61">
        <f t="shared" si="5"/>
        <v>0</v>
      </c>
      <c r="N20" s="55"/>
      <c r="O20" s="58"/>
      <c r="P20" s="61"/>
      <c r="Q20" s="55"/>
      <c r="R20" s="49"/>
      <c r="S20" s="62">
        <f t="shared" si="6"/>
        <v>0</v>
      </c>
      <c r="T20" s="62">
        <f t="shared" si="7"/>
        <v>0</v>
      </c>
    </row>
    <row r="21" spans="1:20" x14ac:dyDescent="0.3">
      <c r="A21" s="64" t="s">
        <v>147</v>
      </c>
      <c r="B21" s="58"/>
      <c r="C21" s="58"/>
      <c r="D21" s="58">
        <f t="shared" si="3"/>
        <v>0</v>
      </c>
      <c r="E21" s="59">
        <f t="shared" si="0"/>
        <v>0</v>
      </c>
      <c r="F21" s="60"/>
      <c r="G21" s="58"/>
      <c r="H21" s="58"/>
      <c r="I21" s="47">
        <v>500000</v>
      </c>
      <c r="J21" s="63">
        <f>I21/G$5</f>
        <v>358911.77948460268</v>
      </c>
      <c r="K21" s="58">
        <f>J21+H21</f>
        <v>358911.77948460268</v>
      </c>
      <c r="L21" s="58">
        <f t="shared" si="4"/>
        <v>358911.77948460268</v>
      </c>
      <c r="M21" s="61">
        <f t="shared" si="5"/>
        <v>5.3190965397361401E-2</v>
      </c>
      <c r="N21" s="55"/>
      <c r="O21" s="58">
        <f t="shared" ref="O21:O28" si="9">K21</f>
        <v>358911.77948460268</v>
      </c>
      <c r="P21" s="61">
        <f>O21/$O$30</f>
        <v>0.21330684042895129</v>
      </c>
      <c r="Q21" s="55"/>
      <c r="R21" s="49">
        <f>I21</f>
        <v>500000</v>
      </c>
      <c r="S21" s="62">
        <f t="shared" si="6"/>
        <v>2449765.8416755949</v>
      </c>
      <c r="T21" s="62">
        <f t="shared" si="7"/>
        <v>2074447.6504970945</v>
      </c>
    </row>
    <row r="22" spans="1:20" x14ac:dyDescent="0.3">
      <c r="A22" s="64" t="s">
        <v>148</v>
      </c>
      <c r="B22" s="58"/>
      <c r="C22" s="58"/>
      <c r="D22" s="58">
        <f t="shared" si="3"/>
        <v>0</v>
      </c>
      <c r="E22" s="59">
        <f t="shared" si="0"/>
        <v>0</v>
      </c>
      <c r="F22" s="60"/>
      <c r="G22" s="58"/>
      <c r="H22" s="58"/>
      <c r="I22" s="47">
        <v>500000</v>
      </c>
      <c r="J22" s="63">
        <f t="shared" ref="J22:J24" si="10">I22/G$5</f>
        <v>358911.77948460268</v>
      </c>
      <c r="K22" s="58">
        <f t="shared" ref="K22:K28" si="11">J22+H22</f>
        <v>358911.77948460268</v>
      </c>
      <c r="L22" s="58">
        <f t="shared" si="4"/>
        <v>358911.77948460268</v>
      </c>
      <c r="M22" s="61">
        <f t="shared" si="5"/>
        <v>5.3190965397361401E-2</v>
      </c>
      <c r="N22" s="55"/>
      <c r="O22" s="58">
        <f t="shared" si="9"/>
        <v>358911.77948460268</v>
      </c>
      <c r="P22" s="61">
        <f>O22/$O$30</f>
        <v>0.21330684042895129</v>
      </c>
      <c r="Q22" s="55"/>
      <c r="R22" s="49">
        <f>I22</f>
        <v>500000</v>
      </c>
      <c r="S22" s="62">
        <f t="shared" si="6"/>
        <v>2449765.8416755949</v>
      </c>
      <c r="T22" s="62">
        <f t="shared" si="7"/>
        <v>2074447.6504970945</v>
      </c>
    </row>
    <row r="23" spans="1:20" x14ac:dyDescent="0.3">
      <c r="A23" s="64" t="s">
        <v>149</v>
      </c>
      <c r="B23" s="58"/>
      <c r="C23" s="58"/>
      <c r="D23" s="58">
        <f t="shared" si="3"/>
        <v>0</v>
      </c>
      <c r="E23" s="59">
        <f t="shared" si="0"/>
        <v>0</v>
      </c>
      <c r="F23" s="60"/>
      <c r="G23" s="58"/>
      <c r="H23" s="58"/>
      <c r="I23" s="47">
        <v>250000</v>
      </c>
      <c r="J23" s="63">
        <f t="shared" si="10"/>
        <v>179455.88974230134</v>
      </c>
      <c r="K23" s="58">
        <f t="shared" si="11"/>
        <v>179455.88974230134</v>
      </c>
      <c r="L23" s="58">
        <f t="shared" si="4"/>
        <v>179455.88974230134</v>
      </c>
      <c r="M23" s="61">
        <f t="shared" si="5"/>
        <v>2.65954826986807E-2</v>
      </c>
      <c r="N23" s="55"/>
      <c r="O23" s="58">
        <f t="shared" si="9"/>
        <v>179455.88974230134</v>
      </c>
      <c r="P23" s="61">
        <f>O23/$O$30</f>
        <v>0.10665342021447564</v>
      </c>
      <c r="Q23" s="55"/>
      <c r="R23" s="49">
        <f>I23</f>
        <v>250000</v>
      </c>
      <c r="S23" s="62">
        <f t="shared" si="6"/>
        <v>1224882.9208377975</v>
      </c>
      <c r="T23" s="62">
        <f t="shared" si="7"/>
        <v>1037223.8252485472</v>
      </c>
    </row>
    <row r="24" spans="1:20" x14ac:dyDescent="0.3">
      <c r="A24" s="64" t="s">
        <v>134</v>
      </c>
      <c r="B24" s="58"/>
      <c r="C24" s="58"/>
      <c r="D24" s="58">
        <f t="shared" si="3"/>
        <v>0</v>
      </c>
      <c r="E24" s="59">
        <f t="shared" si="0"/>
        <v>0</v>
      </c>
      <c r="F24" s="60"/>
      <c r="G24" s="65">
        <f>'Convertible Debt'!I5</f>
        <v>674315.06849315076</v>
      </c>
      <c r="H24" s="58">
        <f>G24/G$5</f>
        <v>484039.24233231694</v>
      </c>
      <c r="I24" s="47">
        <v>150000</v>
      </c>
      <c r="J24" s="58">
        <f t="shared" si="10"/>
        <v>107673.53384538081</v>
      </c>
      <c r="K24" s="58">
        <f t="shared" si="11"/>
        <v>591712.7761776977</v>
      </c>
      <c r="L24" s="58">
        <f t="shared" si="4"/>
        <v>591712.7761776977</v>
      </c>
      <c r="M24" s="61">
        <f t="shared" si="5"/>
        <v>8.7692228569485539E-2</v>
      </c>
      <c r="N24" s="55"/>
      <c r="O24" s="58">
        <f t="shared" si="9"/>
        <v>591712.7761776977</v>
      </c>
      <c r="P24" s="61">
        <f>O24/$O$30</f>
        <v>0.35166408555649709</v>
      </c>
      <c r="Q24" s="55"/>
      <c r="R24" s="49">
        <f>'Convertible Debt'!B5</f>
        <v>500000</v>
      </c>
      <c r="S24" s="62">
        <f t="shared" si="6"/>
        <v>4038757.7951459978</v>
      </c>
      <c r="T24" s="62">
        <f t="shared" si="7"/>
        <v>3419996.9142099358</v>
      </c>
    </row>
    <row r="25" spans="1:20" x14ac:dyDescent="0.3">
      <c r="A25" s="64" t="s">
        <v>135</v>
      </c>
      <c r="B25" s="58"/>
      <c r="C25" s="58"/>
      <c r="D25" s="58">
        <f t="shared" si="3"/>
        <v>0</v>
      </c>
      <c r="E25" s="59">
        <f t="shared" si="0"/>
        <v>0</v>
      </c>
      <c r="F25" s="60"/>
      <c r="G25" s="65">
        <f>'Convertible Debt'!I6</f>
        <v>67431.506849315061</v>
      </c>
      <c r="H25" s="58">
        <f t="shared" ref="H25:H28" si="12">G25/G$5</f>
        <v>48403.924233231686</v>
      </c>
      <c r="I25" s="58"/>
      <c r="J25" s="58"/>
      <c r="K25" s="58">
        <f t="shared" si="11"/>
        <v>48403.924233231686</v>
      </c>
      <c r="L25" s="58">
        <f t="shared" si="4"/>
        <v>48403.924233231686</v>
      </c>
      <c r="M25" s="61">
        <f t="shared" si="5"/>
        <v>7.1734938950277121E-3</v>
      </c>
      <c r="N25" s="55"/>
      <c r="O25" s="58">
        <f t="shared" si="9"/>
        <v>48403.924233231686</v>
      </c>
      <c r="P25" s="61">
        <f t="shared" ref="P25:P28" si="13">O25/$O$30</f>
        <v>2.876720334278117E-2</v>
      </c>
      <c r="Q25" s="55"/>
      <c r="R25" s="49">
        <f>'Convertible Debt'!B6</f>
        <v>50000</v>
      </c>
      <c r="S25" s="62">
        <f t="shared" si="6"/>
        <v>330382.80426433193</v>
      </c>
      <c r="T25" s="62">
        <f t="shared" si="7"/>
        <v>279766.26190608076</v>
      </c>
    </row>
    <row r="26" spans="1:20" x14ac:dyDescent="0.3">
      <c r="A26" s="64" t="s">
        <v>136</v>
      </c>
      <c r="B26" s="58"/>
      <c r="C26" s="58"/>
      <c r="D26" s="58">
        <f t="shared" si="3"/>
        <v>0</v>
      </c>
      <c r="E26" s="59">
        <f t="shared" si="0"/>
        <v>0</v>
      </c>
      <c r="F26" s="60"/>
      <c r="G26" s="65">
        <f>'Convertible Debt'!I7</f>
        <v>101147.2602739726</v>
      </c>
      <c r="H26" s="58">
        <f t="shared" si="12"/>
        <v>72605.88634984754</v>
      </c>
      <c r="I26" s="58"/>
      <c r="J26" s="58"/>
      <c r="K26" s="58">
        <f t="shared" si="11"/>
        <v>72605.88634984754</v>
      </c>
      <c r="L26" s="58">
        <f t="shared" si="4"/>
        <v>72605.88634984754</v>
      </c>
      <c r="M26" s="61">
        <f t="shared" si="5"/>
        <v>1.0760240842541569E-2</v>
      </c>
      <c r="N26" s="55"/>
      <c r="O26" s="58">
        <f t="shared" si="9"/>
        <v>72605.88634984754</v>
      </c>
      <c r="P26" s="61">
        <f t="shared" si="13"/>
        <v>4.3150805014171761E-2</v>
      </c>
      <c r="Q26" s="55"/>
      <c r="R26" s="49">
        <f>'Convertible Debt'!B7</f>
        <v>75000</v>
      </c>
      <c r="S26" s="62">
        <f t="shared" si="6"/>
        <v>495574.2063964979</v>
      </c>
      <c r="T26" s="62">
        <f t="shared" si="7"/>
        <v>419649.39285912114</v>
      </c>
    </row>
    <row r="27" spans="1:20" x14ac:dyDescent="0.3">
      <c r="A27" s="66" t="s">
        <v>137</v>
      </c>
      <c r="B27" s="58"/>
      <c r="C27" s="58"/>
      <c r="D27" s="58">
        <f t="shared" si="3"/>
        <v>0</v>
      </c>
      <c r="E27" s="59">
        <f t="shared" si="0"/>
        <v>0</v>
      </c>
      <c r="F27" s="60"/>
      <c r="G27" s="65">
        <f>'Convertible Debt'!I8</f>
        <v>67431.506849315061</v>
      </c>
      <c r="H27" s="58">
        <f t="shared" si="12"/>
        <v>48403.924233231686</v>
      </c>
      <c r="I27" s="58"/>
      <c r="J27" s="58"/>
      <c r="K27" s="58">
        <f t="shared" si="11"/>
        <v>48403.924233231686</v>
      </c>
      <c r="L27" s="58">
        <f t="shared" si="4"/>
        <v>48403.924233231686</v>
      </c>
      <c r="M27" s="61">
        <f t="shared" si="5"/>
        <v>7.1734938950277121E-3</v>
      </c>
      <c r="N27" s="55"/>
      <c r="O27" s="58">
        <f t="shared" si="9"/>
        <v>48403.924233231686</v>
      </c>
      <c r="P27" s="61">
        <f t="shared" si="13"/>
        <v>2.876720334278117E-2</v>
      </c>
      <c r="Q27" s="55"/>
      <c r="R27" s="49">
        <f>'Convertible Debt'!B8</f>
        <v>50000</v>
      </c>
      <c r="S27" s="62">
        <f t="shared" si="6"/>
        <v>330382.80426433193</v>
      </c>
      <c r="T27" s="62">
        <f t="shared" si="7"/>
        <v>279766.26190608076</v>
      </c>
    </row>
    <row r="28" spans="1:20" x14ac:dyDescent="0.3">
      <c r="A28" s="64" t="s">
        <v>138</v>
      </c>
      <c r="B28" s="58"/>
      <c r="C28" s="58"/>
      <c r="D28" s="58">
        <f t="shared" si="3"/>
        <v>0</v>
      </c>
      <c r="E28" s="59">
        <f t="shared" si="0"/>
        <v>0</v>
      </c>
      <c r="F28" s="60"/>
      <c r="G28" s="65">
        <f>'Convertible Debt'!I9</f>
        <v>33715.753424657531</v>
      </c>
      <c r="H28" s="58">
        <f t="shared" si="12"/>
        <v>24201.962116615843</v>
      </c>
      <c r="I28" s="58"/>
      <c r="J28" s="58"/>
      <c r="K28" s="58">
        <f t="shared" si="11"/>
        <v>24201.962116615843</v>
      </c>
      <c r="L28" s="58">
        <f t="shared" si="4"/>
        <v>24201.962116615843</v>
      </c>
      <c r="M28" s="61">
        <f t="shared" si="5"/>
        <v>3.586746947513856E-3</v>
      </c>
      <c r="N28" s="55"/>
      <c r="O28" s="58">
        <f t="shared" si="9"/>
        <v>24201.962116615843</v>
      </c>
      <c r="P28" s="61">
        <f t="shared" si="13"/>
        <v>1.4383601671390585E-2</v>
      </c>
      <c r="Q28" s="55"/>
      <c r="R28" s="49">
        <f>'Convertible Debt'!B9</f>
        <v>25000</v>
      </c>
      <c r="S28" s="62">
        <f t="shared" si="6"/>
        <v>165191.40213216597</v>
      </c>
      <c r="T28" s="62">
        <f t="shared" si="7"/>
        <v>139883.13095304038</v>
      </c>
    </row>
    <row r="29" spans="1:20" x14ac:dyDescent="0.3">
      <c r="B29" s="58"/>
      <c r="C29" s="58"/>
      <c r="D29" s="58"/>
      <c r="E29" s="58"/>
      <c r="F29" s="60"/>
      <c r="G29" s="58"/>
      <c r="H29" s="58"/>
      <c r="I29" s="58"/>
      <c r="J29" s="58"/>
      <c r="K29" s="58"/>
      <c r="L29" s="58"/>
      <c r="M29" s="61"/>
      <c r="N29" s="55"/>
      <c r="O29" s="58"/>
      <c r="P29" s="61"/>
      <c r="Q29" s="55"/>
    </row>
    <row r="30" spans="1:20" x14ac:dyDescent="0.3">
      <c r="A30" s="45" t="s">
        <v>1</v>
      </c>
      <c r="B30" s="67">
        <f>SUM(B8:B29)</f>
        <v>4264000</v>
      </c>
      <c r="C30" s="67">
        <f>SUM(C8:C29)</f>
        <v>801000</v>
      </c>
      <c r="D30" s="67">
        <f>SUM(D8:D29)</f>
        <v>5065000</v>
      </c>
      <c r="E30" s="68">
        <f>SUM(E8:E29)</f>
        <v>0.99999999999999978</v>
      </c>
      <c r="F30" s="69"/>
      <c r="G30" s="67">
        <f t="shared" ref="G30:M30" si="14">SUM(G8:G29)</f>
        <v>944041.09589041094</v>
      </c>
      <c r="H30" s="67">
        <f t="shared" si="14"/>
        <v>677654.93926524371</v>
      </c>
      <c r="I30" s="70">
        <f t="shared" si="14"/>
        <v>1400000</v>
      </c>
      <c r="J30" s="67">
        <f t="shared" si="14"/>
        <v>1004952.9825568874</v>
      </c>
      <c r="K30" s="67">
        <f t="shared" si="14"/>
        <v>1682607.9218221311</v>
      </c>
      <c r="L30" s="67">
        <f t="shared" si="14"/>
        <v>6747607.9218221316</v>
      </c>
      <c r="M30" s="71">
        <f t="shared" si="14"/>
        <v>1.0000000000000002</v>
      </c>
      <c r="N30" s="55"/>
      <c r="O30" s="67">
        <f>SUM(O8:O29)</f>
        <v>1682607.9218221311</v>
      </c>
      <c r="P30" s="71">
        <f>SUM(P8:P29)</f>
        <v>1</v>
      </c>
      <c r="Q30" s="55"/>
      <c r="R30" s="72">
        <f>SUM(R8:R29)</f>
        <v>2228974.2749999999</v>
      </c>
      <c r="S30" s="73">
        <f>SUM(S8:S29)</f>
        <v>39000000</v>
      </c>
      <c r="T30" s="73">
        <f>SUM(T8:T29)</f>
        <v>39000000.000000007</v>
      </c>
    </row>
    <row r="31" spans="1:20" x14ac:dyDescent="0.3">
      <c r="B31" s="58"/>
      <c r="C31" s="58"/>
      <c r="D31" s="58"/>
      <c r="G31" s="83">
        <f>'Convertible Debt'!I11</f>
        <v>944041.09589041094</v>
      </c>
      <c r="L31" s="84">
        <f>D30+H30+J30</f>
        <v>6747607.9218221307</v>
      </c>
    </row>
    <row r="32" spans="1:20" x14ac:dyDescent="0.3">
      <c r="B32" s="58"/>
      <c r="C32" s="58"/>
      <c r="D32" s="58"/>
      <c r="I32" s="58"/>
    </row>
    <row r="33" spans="1:13" x14ac:dyDescent="0.3">
      <c r="A33" s="44" t="s">
        <v>0</v>
      </c>
      <c r="B33" s="58"/>
      <c r="C33" s="58"/>
      <c r="D33" s="58"/>
      <c r="L33" s="74"/>
    </row>
    <row r="34" spans="1:13" x14ac:dyDescent="0.3">
      <c r="B34" s="58"/>
      <c r="C34" s="58"/>
      <c r="D34" s="58"/>
      <c r="L34" s="75"/>
    </row>
    <row r="35" spans="1:13" ht="13.5" thickBot="1" x14ac:dyDescent="0.35">
      <c r="B35" s="76" t="s">
        <v>112</v>
      </c>
      <c r="C35" s="58"/>
      <c r="D35" s="58"/>
      <c r="L35" s="75"/>
    </row>
    <row r="36" spans="1:13" ht="13.5" thickTop="1" x14ac:dyDescent="0.3">
      <c r="B36" s="77" t="s">
        <v>6</v>
      </c>
      <c r="C36" s="78">
        <v>40000000</v>
      </c>
      <c r="J36" s="85" t="s">
        <v>133</v>
      </c>
      <c r="K36" s="86"/>
      <c r="L36" s="86"/>
      <c r="M36" s="87">
        <f>E4</f>
        <v>7055958.9041095888</v>
      </c>
    </row>
    <row r="37" spans="1:13" x14ac:dyDescent="0.3">
      <c r="B37" s="77" t="s">
        <v>7</v>
      </c>
      <c r="C37" s="78">
        <v>-200000</v>
      </c>
      <c r="E37" s="94">
        <f>1.4/9.4</f>
        <v>0.14893617021276595</v>
      </c>
      <c r="J37" s="88" t="s">
        <v>139</v>
      </c>
      <c r="M37" s="89">
        <f>I30+G30</f>
        <v>2344041.0958904112</v>
      </c>
    </row>
    <row r="38" spans="1:13" x14ac:dyDescent="0.3">
      <c r="B38" s="77" t="s">
        <v>8</v>
      </c>
      <c r="C38" s="79">
        <f>-(C36*0.02)</f>
        <v>-800000</v>
      </c>
      <c r="E38" s="94">
        <f>SUM(J21:J24)/L30</f>
        <v>0.14893470311261192</v>
      </c>
      <c r="J38" s="88" t="s">
        <v>108</v>
      </c>
      <c r="M38" s="89">
        <f>SUM(M36:M37)</f>
        <v>9400000</v>
      </c>
    </row>
    <row r="39" spans="1:13" ht="13.5" thickBot="1" x14ac:dyDescent="0.35">
      <c r="B39" s="77" t="s">
        <v>9</v>
      </c>
      <c r="C39" s="78">
        <v>0</v>
      </c>
      <c r="J39" s="90" t="s">
        <v>109</v>
      </c>
      <c r="K39" s="91"/>
      <c r="L39" s="91"/>
      <c r="M39" s="92">
        <f>E2+I30</f>
        <v>9400000</v>
      </c>
    </row>
    <row r="40" spans="1:13" ht="13.5" thickTop="1" x14ac:dyDescent="0.3">
      <c r="B40" s="77" t="s">
        <v>10</v>
      </c>
      <c r="C40" s="79">
        <f>SUM(C36:C39)</f>
        <v>39000000</v>
      </c>
    </row>
    <row r="41" spans="1:13" x14ac:dyDescent="0.3">
      <c r="B41" s="77" t="s">
        <v>120</v>
      </c>
      <c r="C41" s="65">
        <f>K30*G5*E6</f>
        <v>2344041.0958904107</v>
      </c>
    </row>
    <row r="42" spans="1:13" x14ac:dyDescent="0.3">
      <c r="B42" s="80" t="s">
        <v>11</v>
      </c>
      <c r="C42" s="79">
        <f>C40-C41</f>
        <v>36655958.90410959</v>
      </c>
    </row>
    <row r="43" spans="1:13" x14ac:dyDescent="0.3">
      <c r="B43" s="80" t="s">
        <v>12</v>
      </c>
      <c r="C43" s="81">
        <f>C42/L30</f>
        <v>5.4324375880765423</v>
      </c>
    </row>
    <row r="44" spans="1:13" x14ac:dyDescent="0.3">
      <c r="C44" s="79"/>
    </row>
    <row r="46" spans="1:13" x14ac:dyDescent="0.3">
      <c r="B46" s="76" t="s">
        <v>113</v>
      </c>
      <c r="C46" s="58"/>
    </row>
    <row r="47" spans="1:13" x14ac:dyDescent="0.3">
      <c r="B47" s="77" t="s">
        <v>6</v>
      </c>
      <c r="C47" s="78">
        <v>40000000</v>
      </c>
    </row>
    <row r="48" spans="1:13" x14ac:dyDescent="0.3">
      <c r="B48" s="77" t="s">
        <v>7</v>
      </c>
      <c r="C48" s="78">
        <v>-200000</v>
      </c>
    </row>
    <row r="49" spans="2:3" x14ac:dyDescent="0.3">
      <c r="B49" s="77" t="s">
        <v>8</v>
      </c>
      <c r="C49" s="79">
        <f>-(C47*0.02)</f>
        <v>-800000</v>
      </c>
    </row>
    <row r="50" spans="2:3" x14ac:dyDescent="0.3">
      <c r="B50" s="77" t="s">
        <v>9</v>
      </c>
      <c r="C50" s="78">
        <v>0</v>
      </c>
    </row>
    <row r="51" spans="2:3" x14ac:dyDescent="0.3">
      <c r="B51" s="77" t="s">
        <v>10</v>
      </c>
      <c r="C51" s="79">
        <f>SUM(C47:C50)</f>
        <v>39000000</v>
      </c>
    </row>
    <row r="52" spans="2:3" x14ac:dyDescent="0.3">
      <c r="B52" s="80" t="s">
        <v>12</v>
      </c>
      <c r="C52" s="81">
        <f>C51/L30</f>
        <v>5.7798260438150049</v>
      </c>
    </row>
  </sheetData>
  <sortState xmlns:xlrd2="http://schemas.microsoft.com/office/spreadsheetml/2017/richdata2" ref="A7:E50">
    <sortCondition ref="A8:A50"/>
  </sortState>
  <phoneticPr fontId="1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2DE09-6CED-4CC8-9C14-65D00E661966}">
  <dimension ref="A1:J14"/>
  <sheetViews>
    <sheetView zoomScale="120" zoomScaleNormal="120" workbookViewId="0">
      <selection activeCell="B11" sqref="B11"/>
    </sheetView>
  </sheetViews>
  <sheetFormatPr defaultRowHeight="12.5" x14ac:dyDescent="0.25"/>
  <cols>
    <col min="1" max="1" width="22.81640625" style="32" customWidth="1"/>
    <col min="2" max="2" width="14.7265625" style="32" customWidth="1"/>
    <col min="3" max="3" width="14.1796875" style="32" bestFit="1" customWidth="1"/>
    <col min="4" max="5" width="10.90625" style="32" bestFit="1" customWidth="1"/>
    <col min="6" max="6" width="14.1796875" style="32" bestFit="1" customWidth="1"/>
    <col min="7" max="7" width="13.90625" style="32" customWidth="1"/>
    <col min="8" max="9" width="13.6328125" style="32" bestFit="1" customWidth="1"/>
    <col min="10" max="256" width="8.7265625" style="32"/>
    <col min="257" max="257" width="22.81640625" style="32" customWidth="1"/>
    <col min="258" max="258" width="13" style="32" customWidth="1"/>
    <col min="259" max="259" width="14.1796875" style="32" bestFit="1" customWidth="1"/>
    <col min="260" max="261" width="10.90625" style="32" bestFit="1" customWidth="1"/>
    <col min="262" max="262" width="14.1796875" style="32" bestFit="1" customWidth="1"/>
    <col min="263" max="263" width="13.90625" style="32" customWidth="1"/>
    <col min="264" max="265" width="13" style="32" bestFit="1" customWidth="1"/>
    <col min="266" max="512" width="8.7265625" style="32"/>
    <col min="513" max="513" width="22.81640625" style="32" customWidth="1"/>
    <col min="514" max="514" width="13" style="32" customWidth="1"/>
    <col min="515" max="515" width="14.1796875" style="32" bestFit="1" customWidth="1"/>
    <col min="516" max="517" width="10.90625" style="32" bestFit="1" customWidth="1"/>
    <col min="518" max="518" width="14.1796875" style="32" bestFit="1" customWidth="1"/>
    <col min="519" max="519" width="13.90625" style="32" customWidth="1"/>
    <col min="520" max="521" width="13" style="32" bestFit="1" customWidth="1"/>
    <col min="522" max="768" width="8.7265625" style="32"/>
    <col min="769" max="769" width="22.81640625" style="32" customWidth="1"/>
    <col min="770" max="770" width="13" style="32" customWidth="1"/>
    <col min="771" max="771" width="14.1796875" style="32" bestFit="1" customWidth="1"/>
    <col min="772" max="773" width="10.90625" style="32" bestFit="1" customWidth="1"/>
    <col min="774" max="774" width="14.1796875" style="32" bestFit="1" customWidth="1"/>
    <col min="775" max="775" width="13.90625" style="32" customWidth="1"/>
    <col min="776" max="777" width="13" style="32" bestFit="1" customWidth="1"/>
    <col min="778" max="1024" width="8.7265625" style="32"/>
    <col min="1025" max="1025" width="22.81640625" style="32" customWidth="1"/>
    <col min="1026" max="1026" width="13" style="32" customWidth="1"/>
    <col min="1027" max="1027" width="14.1796875" style="32" bestFit="1" customWidth="1"/>
    <col min="1028" max="1029" width="10.90625" style="32" bestFit="1" customWidth="1"/>
    <col min="1030" max="1030" width="14.1796875" style="32" bestFit="1" customWidth="1"/>
    <col min="1031" max="1031" width="13.90625" style="32" customWidth="1"/>
    <col min="1032" max="1033" width="13" style="32" bestFit="1" customWidth="1"/>
    <col min="1034" max="1280" width="8.7265625" style="32"/>
    <col min="1281" max="1281" width="22.81640625" style="32" customWidth="1"/>
    <col min="1282" max="1282" width="13" style="32" customWidth="1"/>
    <col min="1283" max="1283" width="14.1796875" style="32" bestFit="1" customWidth="1"/>
    <col min="1284" max="1285" width="10.90625" style="32" bestFit="1" customWidth="1"/>
    <col min="1286" max="1286" width="14.1796875" style="32" bestFit="1" customWidth="1"/>
    <col min="1287" max="1287" width="13.90625" style="32" customWidth="1"/>
    <col min="1288" max="1289" width="13" style="32" bestFit="1" customWidth="1"/>
    <col min="1290" max="1536" width="8.7265625" style="32"/>
    <col min="1537" max="1537" width="22.81640625" style="32" customWidth="1"/>
    <col min="1538" max="1538" width="13" style="32" customWidth="1"/>
    <col min="1539" max="1539" width="14.1796875" style="32" bestFit="1" customWidth="1"/>
    <col min="1540" max="1541" width="10.90625" style="32" bestFit="1" customWidth="1"/>
    <col min="1542" max="1542" width="14.1796875" style="32" bestFit="1" customWidth="1"/>
    <col min="1543" max="1543" width="13.90625" style="32" customWidth="1"/>
    <col min="1544" max="1545" width="13" style="32" bestFit="1" customWidth="1"/>
    <col min="1546" max="1792" width="8.7265625" style="32"/>
    <col min="1793" max="1793" width="22.81640625" style="32" customWidth="1"/>
    <col min="1794" max="1794" width="13" style="32" customWidth="1"/>
    <col min="1795" max="1795" width="14.1796875" style="32" bestFit="1" customWidth="1"/>
    <col min="1796" max="1797" width="10.90625" style="32" bestFit="1" customWidth="1"/>
    <col min="1798" max="1798" width="14.1796875" style="32" bestFit="1" customWidth="1"/>
    <col min="1799" max="1799" width="13.90625" style="32" customWidth="1"/>
    <col min="1800" max="1801" width="13" style="32" bestFit="1" customWidth="1"/>
    <col min="1802" max="2048" width="8.7265625" style="32"/>
    <col min="2049" max="2049" width="22.81640625" style="32" customWidth="1"/>
    <col min="2050" max="2050" width="13" style="32" customWidth="1"/>
    <col min="2051" max="2051" width="14.1796875" style="32" bestFit="1" customWidth="1"/>
    <col min="2052" max="2053" width="10.90625" style="32" bestFit="1" customWidth="1"/>
    <col min="2054" max="2054" width="14.1796875" style="32" bestFit="1" customWidth="1"/>
    <col min="2055" max="2055" width="13.90625" style="32" customWidth="1"/>
    <col min="2056" max="2057" width="13" style="32" bestFit="1" customWidth="1"/>
    <col min="2058" max="2304" width="8.7265625" style="32"/>
    <col min="2305" max="2305" width="22.81640625" style="32" customWidth="1"/>
    <col min="2306" max="2306" width="13" style="32" customWidth="1"/>
    <col min="2307" max="2307" width="14.1796875" style="32" bestFit="1" customWidth="1"/>
    <col min="2308" max="2309" width="10.90625" style="32" bestFit="1" customWidth="1"/>
    <col min="2310" max="2310" width="14.1796875" style="32" bestFit="1" customWidth="1"/>
    <col min="2311" max="2311" width="13.90625" style="32" customWidth="1"/>
    <col min="2312" max="2313" width="13" style="32" bestFit="1" customWidth="1"/>
    <col min="2314" max="2560" width="8.7265625" style="32"/>
    <col min="2561" max="2561" width="22.81640625" style="32" customWidth="1"/>
    <col min="2562" max="2562" width="13" style="32" customWidth="1"/>
    <col min="2563" max="2563" width="14.1796875" style="32" bestFit="1" customWidth="1"/>
    <col min="2564" max="2565" width="10.90625" style="32" bestFit="1" customWidth="1"/>
    <col min="2566" max="2566" width="14.1796875" style="32" bestFit="1" customWidth="1"/>
    <col min="2567" max="2567" width="13.90625" style="32" customWidth="1"/>
    <col min="2568" max="2569" width="13" style="32" bestFit="1" customWidth="1"/>
    <col min="2570" max="2816" width="8.7265625" style="32"/>
    <col min="2817" max="2817" width="22.81640625" style="32" customWidth="1"/>
    <col min="2818" max="2818" width="13" style="32" customWidth="1"/>
    <col min="2819" max="2819" width="14.1796875" style="32" bestFit="1" customWidth="1"/>
    <col min="2820" max="2821" width="10.90625" style="32" bestFit="1" customWidth="1"/>
    <col min="2822" max="2822" width="14.1796875" style="32" bestFit="1" customWidth="1"/>
    <col min="2823" max="2823" width="13.90625" style="32" customWidth="1"/>
    <col min="2824" max="2825" width="13" style="32" bestFit="1" customWidth="1"/>
    <col min="2826" max="3072" width="8.7265625" style="32"/>
    <col min="3073" max="3073" width="22.81640625" style="32" customWidth="1"/>
    <col min="3074" max="3074" width="13" style="32" customWidth="1"/>
    <col min="3075" max="3075" width="14.1796875" style="32" bestFit="1" customWidth="1"/>
    <col min="3076" max="3077" width="10.90625" style="32" bestFit="1" customWidth="1"/>
    <col min="3078" max="3078" width="14.1796875" style="32" bestFit="1" customWidth="1"/>
    <col min="3079" max="3079" width="13.90625" style="32" customWidth="1"/>
    <col min="3080" max="3081" width="13" style="32" bestFit="1" customWidth="1"/>
    <col min="3082" max="3328" width="8.7265625" style="32"/>
    <col min="3329" max="3329" width="22.81640625" style="32" customWidth="1"/>
    <col min="3330" max="3330" width="13" style="32" customWidth="1"/>
    <col min="3331" max="3331" width="14.1796875" style="32" bestFit="1" customWidth="1"/>
    <col min="3332" max="3333" width="10.90625" style="32" bestFit="1" customWidth="1"/>
    <col min="3334" max="3334" width="14.1796875" style="32" bestFit="1" customWidth="1"/>
    <col min="3335" max="3335" width="13.90625" style="32" customWidth="1"/>
    <col min="3336" max="3337" width="13" style="32" bestFit="1" customWidth="1"/>
    <col min="3338" max="3584" width="8.7265625" style="32"/>
    <col min="3585" max="3585" width="22.81640625" style="32" customWidth="1"/>
    <col min="3586" max="3586" width="13" style="32" customWidth="1"/>
    <col min="3587" max="3587" width="14.1796875" style="32" bestFit="1" customWidth="1"/>
    <col min="3588" max="3589" width="10.90625" style="32" bestFit="1" customWidth="1"/>
    <col min="3590" max="3590" width="14.1796875" style="32" bestFit="1" customWidth="1"/>
    <col min="3591" max="3591" width="13.90625" style="32" customWidth="1"/>
    <col min="3592" max="3593" width="13" style="32" bestFit="1" customWidth="1"/>
    <col min="3594" max="3840" width="8.7265625" style="32"/>
    <col min="3841" max="3841" width="22.81640625" style="32" customWidth="1"/>
    <col min="3842" max="3842" width="13" style="32" customWidth="1"/>
    <col min="3843" max="3843" width="14.1796875" style="32" bestFit="1" customWidth="1"/>
    <col min="3844" max="3845" width="10.90625" style="32" bestFit="1" customWidth="1"/>
    <col min="3846" max="3846" width="14.1796875" style="32" bestFit="1" customWidth="1"/>
    <col min="3847" max="3847" width="13.90625" style="32" customWidth="1"/>
    <col min="3848" max="3849" width="13" style="32" bestFit="1" customWidth="1"/>
    <col min="3850" max="4096" width="8.7265625" style="32"/>
    <col min="4097" max="4097" width="22.81640625" style="32" customWidth="1"/>
    <col min="4098" max="4098" width="13" style="32" customWidth="1"/>
    <col min="4099" max="4099" width="14.1796875" style="32" bestFit="1" customWidth="1"/>
    <col min="4100" max="4101" width="10.90625" style="32" bestFit="1" customWidth="1"/>
    <col min="4102" max="4102" width="14.1796875" style="32" bestFit="1" customWidth="1"/>
    <col min="4103" max="4103" width="13.90625" style="32" customWidth="1"/>
    <col min="4104" max="4105" width="13" style="32" bestFit="1" customWidth="1"/>
    <col min="4106" max="4352" width="8.7265625" style="32"/>
    <col min="4353" max="4353" width="22.81640625" style="32" customWidth="1"/>
    <col min="4354" max="4354" width="13" style="32" customWidth="1"/>
    <col min="4355" max="4355" width="14.1796875" style="32" bestFit="1" customWidth="1"/>
    <col min="4356" max="4357" width="10.90625" style="32" bestFit="1" customWidth="1"/>
    <col min="4358" max="4358" width="14.1796875" style="32" bestFit="1" customWidth="1"/>
    <col min="4359" max="4359" width="13.90625" style="32" customWidth="1"/>
    <col min="4360" max="4361" width="13" style="32" bestFit="1" customWidth="1"/>
    <col min="4362" max="4608" width="8.7265625" style="32"/>
    <col min="4609" max="4609" width="22.81640625" style="32" customWidth="1"/>
    <col min="4610" max="4610" width="13" style="32" customWidth="1"/>
    <col min="4611" max="4611" width="14.1796875" style="32" bestFit="1" customWidth="1"/>
    <col min="4612" max="4613" width="10.90625" style="32" bestFit="1" customWidth="1"/>
    <col min="4614" max="4614" width="14.1796875" style="32" bestFit="1" customWidth="1"/>
    <col min="4615" max="4615" width="13.90625" style="32" customWidth="1"/>
    <col min="4616" max="4617" width="13" style="32" bestFit="1" customWidth="1"/>
    <col min="4618" max="4864" width="8.7265625" style="32"/>
    <col min="4865" max="4865" width="22.81640625" style="32" customWidth="1"/>
    <col min="4866" max="4866" width="13" style="32" customWidth="1"/>
    <col min="4867" max="4867" width="14.1796875" style="32" bestFit="1" customWidth="1"/>
    <col min="4868" max="4869" width="10.90625" style="32" bestFit="1" customWidth="1"/>
    <col min="4870" max="4870" width="14.1796875" style="32" bestFit="1" customWidth="1"/>
    <col min="4871" max="4871" width="13.90625" style="32" customWidth="1"/>
    <col min="4872" max="4873" width="13" style="32" bestFit="1" customWidth="1"/>
    <col min="4874" max="5120" width="8.7265625" style="32"/>
    <col min="5121" max="5121" width="22.81640625" style="32" customWidth="1"/>
    <col min="5122" max="5122" width="13" style="32" customWidth="1"/>
    <col min="5123" max="5123" width="14.1796875" style="32" bestFit="1" customWidth="1"/>
    <col min="5124" max="5125" width="10.90625" style="32" bestFit="1" customWidth="1"/>
    <col min="5126" max="5126" width="14.1796875" style="32" bestFit="1" customWidth="1"/>
    <col min="5127" max="5127" width="13.90625" style="32" customWidth="1"/>
    <col min="5128" max="5129" width="13" style="32" bestFit="1" customWidth="1"/>
    <col min="5130" max="5376" width="8.7265625" style="32"/>
    <col min="5377" max="5377" width="22.81640625" style="32" customWidth="1"/>
    <col min="5378" max="5378" width="13" style="32" customWidth="1"/>
    <col min="5379" max="5379" width="14.1796875" style="32" bestFit="1" customWidth="1"/>
    <col min="5380" max="5381" width="10.90625" style="32" bestFit="1" customWidth="1"/>
    <col min="5382" max="5382" width="14.1796875" style="32" bestFit="1" customWidth="1"/>
    <col min="5383" max="5383" width="13.90625" style="32" customWidth="1"/>
    <col min="5384" max="5385" width="13" style="32" bestFit="1" customWidth="1"/>
    <col min="5386" max="5632" width="8.7265625" style="32"/>
    <col min="5633" max="5633" width="22.81640625" style="32" customWidth="1"/>
    <col min="5634" max="5634" width="13" style="32" customWidth="1"/>
    <col min="5635" max="5635" width="14.1796875" style="32" bestFit="1" customWidth="1"/>
    <col min="5636" max="5637" width="10.90625" style="32" bestFit="1" customWidth="1"/>
    <col min="5638" max="5638" width="14.1796875" style="32" bestFit="1" customWidth="1"/>
    <col min="5639" max="5639" width="13.90625" style="32" customWidth="1"/>
    <col min="5640" max="5641" width="13" style="32" bestFit="1" customWidth="1"/>
    <col min="5642" max="5888" width="8.7265625" style="32"/>
    <col min="5889" max="5889" width="22.81640625" style="32" customWidth="1"/>
    <col min="5890" max="5890" width="13" style="32" customWidth="1"/>
    <col min="5891" max="5891" width="14.1796875" style="32" bestFit="1" customWidth="1"/>
    <col min="5892" max="5893" width="10.90625" style="32" bestFit="1" customWidth="1"/>
    <col min="5894" max="5894" width="14.1796875" style="32" bestFit="1" customWidth="1"/>
    <col min="5895" max="5895" width="13.90625" style="32" customWidth="1"/>
    <col min="5896" max="5897" width="13" style="32" bestFit="1" customWidth="1"/>
    <col min="5898" max="6144" width="8.7265625" style="32"/>
    <col min="6145" max="6145" width="22.81640625" style="32" customWidth="1"/>
    <col min="6146" max="6146" width="13" style="32" customWidth="1"/>
    <col min="6147" max="6147" width="14.1796875" style="32" bestFit="1" customWidth="1"/>
    <col min="6148" max="6149" width="10.90625" style="32" bestFit="1" customWidth="1"/>
    <col min="6150" max="6150" width="14.1796875" style="32" bestFit="1" customWidth="1"/>
    <col min="6151" max="6151" width="13.90625" style="32" customWidth="1"/>
    <col min="6152" max="6153" width="13" style="32" bestFit="1" customWidth="1"/>
    <col min="6154" max="6400" width="8.7265625" style="32"/>
    <col min="6401" max="6401" width="22.81640625" style="32" customWidth="1"/>
    <col min="6402" max="6402" width="13" style="32" customWidth="1"/>
    <col min="6403" max="6403" width="14.1796875" style="32" bestFit="1" customWidth="1"/>
    <col min="6404" max="6405" width="10.90625" style="32" bestFit="1" customWidth="1"/>
    <col min="6406" max="6406" width="14.1796875" style="32" bestFit="1" customWidth="1"/>
    <col min="6407" max="6407" width="13.90625" style="32" customWidth="1"/>
    <col min="6408" max="6409" width="13" style="32" bestFit="1" customWidth="1"/>
    <col min="6410" max="6656" width="8.7265625" style="32"/>
    <col min="6657" max="6657" width="22.81640625" style="32" customWidth="1"/>
    <col min="6658" max="6658" width="13" style="32" customWidth="1"/>
    <col min="6659" max="6659" width="14.1796875" style="32" bestFit="1" customWidth="1"/>
    <col min="6660" max="6661" width="10.90625" style="32" bestFit="1" customWidth="1"/>
    <col min="6662" max="6662" width="14.1796875" style="32" bestFit="1" customWidth="1"/>
    <col min="6663" max="6663" width="13.90625" style="32" customWidth="1"/>
    <col min="6664" max="6665" width="13" style="32" bestFit="1" customWidth="1"/>
    <col min="6666" max="6912" width="8.7265625" style="32"/>
    <col min="6913" max="6913" width="22.81640625" style="32" customWidth="1"/>
    <col min="6914" max="6914" width="13" style="32" customWidth="1"/>
    <col min="6915" max="6915" width="14.1796875" style="32" bestFit="1" customWidth="1"/>
    <col min="6916" max="6917" width="10.90625" style="32" bestFit="1" customWidth="1"/>
    <col min="6918" max="6918" width="14.1796875" style="32" bestFit="1" customWidth="1"/>
    <col min="6919" max="6919" width="13.90625" style="32" customWidth="1"/>
    <col min="6920" max="6921" width="13" style="32" bestFit="1" customWidth="1"/>
    <col min="6922" max="7168" width="8.7265625" style="32"/>
    <col min="7169" max="7169" width="22.81640625" style="32" customWidth="1"/>
    <col min="7170" max="7170" width="13" style="32" customWidth="1"/>
    <col min="7171" max="7171" width="14.1796875" style="32" bestFit="1" customWidth="1"/>
    <col min="7172" max="7173" width="10.90625" style="32" bestFit="1" customWidth="1"/>
    <col min="7174" max="7174" width="14.1796875" style="32" bestFit="1" customWidth="1"/>
    <col min="7175" max="7175" width="13.90625" style="32" customWidth="1"/>
    <col min="7176" max="7177" width="13" style="32" bestFit="1" customWidth="1"/>
    <col min="7178" max="7424" width="8.7265625" style="32"/>
    <col min="7425" max="7425" width="22.81640625" style="32" customWidth="1"/>
    <col min="7426" max="7426" width="13" style="32" customWidth="1"/>
    <col min="7427" max="7427" width="14.1796875" style="32" bestFit="1" customWidth="1"/>
    <col min="7428" max="7429" width="10.90625" style="32" bestFit="1" customWidth="1"/>
    <col min="7430" max="7430" width="14.1796875" style="32" bestFit="1" customWidth="1"/>
    <col min="7431" max="7431" width="13.90625" style="32" customWidth="1"/>
    <col min="7432" max="7433" width="13" style="32" bestFit="1" customWidth="1"/>
    <col min="7434" max="7680" width="8.7265625" style="32"/>
    <col min="7681" max="7681" width="22.81640625" style="32" customWidth="1"/>
    <col min="7682" max="7682" width="13" style="32" customWidth="1"/>
    <col min="7683" max="7683" width="14.1796875" style="32" bestFit="1" customWidth="1"/>
    <col min="7684" max="7685" width="10.90625" style="32" bestFit="1" customWidth="1"/>
    <col min="7686" max="7686" width="14.1796875" style="32" bestFit="1" customWidth="1"/>
    <col min="7687" max="7687" width="13.90625" style="32" customWidth="1"/>
    <col min="7688" max="7689" width="13" style="32" bestFit="1" customWidth="1"/>
    <col min="7690" max="7936" width="8.7265625" style="32"/>
    <col min="7937" max="7937" width="22.81640625" style="32" customWidth="1"/>
    <col min="7938" max="7938" width="13" style="32" customWidth="1"/>
    <col min="7939" max="7939" width="14.1796875" style="32" bestFit="1" customWidth="1"/>
    <col min="7940" max="7941" width="10.90625" style="32" bestFit="1" customWidth="1"/>
    <col min="7942" max="7942" width="14.1796875" style="32" bestFit="1" customWidth="1"/>
    <col min="7943" max="7943" width="13.90625" style="32" customWidth="1"/>
    <col min="7944" max="7945" width="13" style="32" bestFit="1" customWidth="1"/>
    <col min="7946" max="8192" width="8.7265625" style="32"/>
    <col min="8193" max="8193" width="22.81640625" style="32" customWidth="1"/>
    <col min="8194" max="8194" width="13" style="32" customWidth="1"/>
    <col min="8195" max="8195" width="14.1796875" style="32" bestFit="1" customWidth="1"/>
    <col min="8196" max="8197" width="10.90625" style="32" bestFit="1" customWidth="1"/>
    <col min="8198" max="8198" width="14.1796875" style="32" bestFit="1" customWidth="1"/>
    <col min="8199" max="8199" width="13.90625" style="32" customWidth="1"/>
    <col min="8200" max="8201" width="13" style="32" bestFit="1" customWidth="1"/>
    <col min="8202" max="8448" width="8.7265625" style="32"/>
    <col min="8449" max="8449" width="22.81640625" style="32" customWidth="1"/>
    <col min="8450" max="8450" width="13" style="32" customWidth="1"/>
    <col min="8451" max="8451" width="14.1796875" style="32" bestFit="1" customWidth="1"/>
    <col min="8452" max="8453" width="10.90625" style="32" bestFit="1" customWidth="1"/>
    <col min="8454" max="8454" width="14.1796875" style="32" bestFit="1" customWidth="1"/>
    <col min="8455" max="8455" width="13.90625" style="32" customWidth="1"/>
    <col min="8456" max="8457" width="13" style="32" bestFit="1" customWidth="1"/>
    <col min="8458" max="8704" width="8.7265625" style="32"/>
    <col min="8705" max="8705" width="22.81640625" style="32" customWidth="1"/>
    <col min="8706" max="8706" width="13" style="32" customWidth="1"/>
    <col min="8707" max="8707" width="14.1796875" style="32" bestFit="1" customWidth="1"/>
    <col min="8708" max="8709" width="10.90625" style="32" bestFit="1" customWidth="1"/>
    <col min="8710" max="8710" width="14.1796875" style="32" bestFit="1" customWidth="1"/>
    <col min="8711" max="8711" width="13.90625" style="32" customWidth="1"/>
    <col min="8712" max="8713" width="13" style="32" bestFit="1" customWidth="1"/>
    <col min="8714" max="8960" width="8.7265625" style="32"/>
    <col min="8961" max="8961" width="22.81640625" style="32" customWidth="1"/>
    <col min="8962" max="8962" width="13" style="32" customWidth="1"/>
    <col min="8963" max="8963" width="14.1796875" style="32" bestFit="1" customWidth="1"/>
    <col min="8964" max="8965" width="10.90625" style="32" bestFit="1" customWidth="1"/>
    <col min="8966" max="8966" width="14.1796875" style="32" bestFit="1" customWidth="1"/>
    <col min="8967" max="8967" width="13.90625" style="32" customWidth="1"/>
    <col min="8968" max="8969" width="13" style="32" bestFit="1" customWidth="1"/>
    <col min="8970" max="9216" width="8.7265625" style="32"/>
    <col min="9217" max="9217" width="22.81640625" style="32" customWidth="1"/>
    <col min="9218" max="9218" width="13" style="32" customWidth="1"/>
    <col min="9219" max="9219" width="14.1796875" style="32" bestFit="1" customWidth="1"/>
    <col min="9220" max="9221" width="10.90625" style="32" bestFit="1" customWidth="1"/>
    <col min="9222" max="9222" width="14.1796875" style="32" bestFit="1" customWidth="1"/>
    <col min="9223" max="9223" width="13.90625" style="32" customWidth="1"/>
    <col min="9224" max="9225" width="13" style="32" bestFit="1" customWidth="1"/>
    <col min="9226" max="9472" width="8.7265625" style="32"/>
    <col min="9473" max="9473" width="22.81640625" style="32" customWidth="1"/>
    <col min="9474" max="9474" width="13" style="32" customWidth="1"/>
    <col min="9475" max="9475" width="14.1796875" style="32" bestFit="1" customWidth="1"/>
    <col min="9476" max="9477" width="10.90625" style="32" bestFit="1" customWidth="1"/>
    <col min="9478" max="9478" width="14.1796875" style="32" bestFit="1" customWidth="1"/>
    <col min="9479" max="9479" width="13.90625" style="32" customWidth="1"/>
    <col min="9480" max="9481" width="13" style="32" bestFit="1" customWidth="1"/>
    <col min="9482" max="9728" width="8.7265625" style="32"/>
    <col min="9729" max="9729" width="22.81640625" style="32" customWidth="1"/>
    <col min="9730" max="9730" width="13" style="32" customWidth="1"/>
    <col min="9731" max="9731" width="14.1796875" style="32" bestFit="1" customWidth="1"/>
    <col min="9732" max="9733" width="10.90625" style="32" bestFit="1" customWidth="1"/>
    <col min="9734" max="9734" width="14.1796875" style="32" bestFit="1" customWidth="1"/>
    <col min="9735" max="9735" width="13.90625" style="32" customWidth="1"/>
    <col min="9736" max="9737" width="13" style="32" bestFit="1" customWidth="1"/>
    <col min="9738" max="9984" width="8.7265625" style="32"/>
    <col min="9985" max="9985" width="22.81640625" style="32" customWidth="1"/>
    <col min="9986" max="9986" width="13" style="32" customWidth="1"/>
    <col min="9987" max="9987" width="14.1796875" style="32" bestFit="1" customWidth="1"/>
    <col min="9988" max="9989" width="10.90625" style="32" bestFit="1" customWidth="1"/>
    <col min="9990" max="9990" width="14.1796875" style="32" bestFit="1" customWidth="1"/>
    <col min="9991" max="9991" width="13.90625" style="32" customWidth="1"/>
    <col min="9992" max="9993" width="13" style="32" bestFit="1" customWidth="1"/>
    <col min="9994" max="10240" width="8.7265625" style="32"/>
    <col min="10241" max="10241" width="22.81640625" style="32" customWidth="1"/>
    <col min="10242" max="10242" width="13" style="32" customWidth="1"/>
    <col min="10243" max="10243" width="14.1796875" style="32" bestFit="1" customWidth="1"/>
    <col min="10244" max="10245" width="10.90625" style="32" bestFit="1" customWidth="1"/>
    <col min="10246" max="10246" width="14.1796875" style="32" bestFit="1" customWidth="1"/>
    <col min="10247" max="10247" width="13.90625" style="32" customWidth="1"/>
    <col min="10248" max="10249" width="13" style="32" bestFit="1" customWidth="1"/>
    <col min="10250" max="10496" width="8.7265625" style="32"/>
    <col min="10497" max="10497" width="22.81640625" style="32" customWidth="1"/>
    <col min="10498" max="10498" width="13" style="32" customWidth="1"/>
    <col min="10499" max="10499" width="14.1796875" style="32" bestFit="1" customWidth="1"/>
    <col min="10500" max="10501" width="10.90625" style="32" bestFit="1" customWidth="1"/>
    <col min="10502" max="10502" width="14.1796875" style="32" bestFit="1" customWidth="1"/>
    <col min="10503" max="10503" width="13.90625" style="32" customWidth="1"/>
    <col min="10504" max="10505" width="13" style="32" bestFit="1" customWidth="1"/>
    <col min="10506" max="10752" width="8.7265625" style="32"/>
    <col min="10753" max="10753" width="22.81640625" style="32" customWidth="1"/>
    <col min="10754" max="10754" width="13" style="32" customWidth="1"/>
    <col min="10755" max="10755" width="14.1796875" style="32" bestFit="1" customWidth="1"/>
    <col min="10756" max="10757" width="10.90625" style="32" bestFit="1" customWidth="1"/>
    <col min="10758" max="10758" width="14.1796875" style="32" bestFit="1" customWidth="1"/>
    <col min="10759" max="10759" width="13.90625" style="32" customWidth="1"/>
    <col min="10760" max="10761" width="13" style="32" bestFit="1" customWidth="1"/>
    <col min="10762" max="11008" width="8.7265625" style="32"/>
    <col min="11009" max="11009" width="22.81640625" style="32" customWidth="1"/>
    <col min="11010" max="11010" width="13" style="32" customWidth="1"/>
    <col min="11011" max="11011" width="14.1796875" style="32" bestFit="1" customWidth="1"/>
    <col min="11012" max="11013" width="10.90625" style="32" bestFit="1" customWidth="1"/>
    <col min="11014" max="11014" width="14.1796875" style="32" bestFit="1" customWidth="1"/>
    <col min="11015" max="11015" width="13.90625" style="32" customWidth="1"/>
    <col min="11016" max="11017" width="13" style="32" bestFit="1" customWidth="1"/>
    <col min="11018" max="11264" width="8.7265625" style="32"/>
    <col min="11265" max="11265" width="22.81640625" style="32" customWidth="1"/>
    <col min="11266" max="11266" width="13" style="32" customWidth="1"/>
    <col min="11267" max="11267" width="14.1796875" style="32" bestFit="1" customWidth="1"/>
    <col min="11268" max="11269" width="10.90625" style="32" bestFit="1" customWidth="1"/>
    <col min="11270" max="11270" width="14.1796875" style="32" bestFit="1" customWidth="1"/>
    <col min="11271" max="11271" width="13.90625" style="32" customWidth="1"/>
    <col min="11272" max="11273" width="13" style="32" bestFit="1" customWidth="1"/>
    <col min="11274" max="11520" width="8.7265625" style="32"/>
    <col min="11521" max="11521" width="22.81640625" style="32" customWidth="1"/>
    <col min="11522" max="11522" width="13" style="32" customWidth="1"/>
    <col min="11523" max="11523" width="14.1796875" style="32" bestFit="1" customWidth="1"/>
    <col min="11524" max="11525" width="10.90625" style="32" bestFit="1" customWidth="1"/>
    <col min="11526" max="11526" width="14.1796875" style="32" bestFit="1" customWidth="1"/>
    <col min="11527" max="11527" width="13.90625" style="32" customWidth="1"/>
    <col min="11528" max="11529" width="13" style="32" bestFit="1" customWidth="1"/>
    <col min="11530" max="11776" width="8.7265625" style="32"/>
    <col min="11777" max="11777" width="22.81640625" style="32" customWidth="1"/>
    <col min="11778" max="11778" width="13" style="32" customWidth="1"/>
    <col min="11779" max="11779" width="14.1796875" style="32" bestFit="1" customWidth="1"/>
    <col min="11780" max="11781" width="10.90625" style="32" bestFit="1" customWidth="1"/>
    <col min="11782" max="11782" width="14.1796875" style="32" bestFit="1" customWidth="1"/>
    <col min="11783" max="11783" width="13.90625" style="32" customWidth="1"/>
    <col min="11784" max="11785" width="13" style="32" bestFit="1" customWidth="1"/>
    <col min="11786" max="12032" width="8.7265625" style="32"/>
    <col min="12033" max="12033" width="22.81640625" style="32" customWidth="1"/>
    <col min="12034" max="12034" width="13" style="32" customWidth="1"/>
    <col min="12035" max="12035" width="14.1796875" style="32" bestFit="1" customWidth="1"/>
    <col min="12036" max="12037" width="10.90625" style="32" bestFit="1" customWidth="1"/>
    <col min="12038" max="12038" width="14.1796875" style="32" bestFit="1" customWidth="1"/>
    <col min="12039" max="12039" width="13.90625" style="32" customWidth="1"/>
    <col min="12040" max="12041" width="13" style="32" bestFit="1" customWidth="1"/>
    <col min="12042" max="12288" width="8.7265625" style="32"/>
    <col min="12289" max="12289" width="22.81640625" style="32" customWidth="1"/>
    <col min="12290" max="12290" width="13" style="32" customWidth="1"/>
    <col min="12291" max="12291" width="14.1796875" style="32" bestFit="1" customWidth="1"/>
    <col min="12292" max="12293" width="10.90625" style="32" bestFit="1" customWidth="1"/>
    <col min="12294" max="12294" width="14.1796875" style="32" bestFit="1" customWidth="1"/>
    <col min="12295" max="12295" width="13.90625" style="32" customWidth="1"/>
    <col min="12296" max="12297" width="13" style="32" bestFit="1" customWidth="1"/>
    <col min="12298" max="12544" width="8.7265625" style="32"/>
    <col min="12545" max="12545" width="22.81640625" style="32" customWidth="1"/>
    <col min="12546" max="12546" width="13" style="32" customWidth="1"/>
    <col min="12547" max="12547" width="14.1796875" style="32" bestFit="1" customWidth="1"/>
    <col min="12548" max="12549" width="10.90625" style="32" bestFit="1" customWidth="1"/>
    <col min="12550" max="12550" width="14.1796875" style="32" bestFit="1" customWidth="1"/>
    <col min="12551" max="12551" width="13.90625" style="32" customWidth="1"/>
    <col min="12552" max="12553" width="13" style="32" bestFit="1" customWidth="1"/>
    <col min="12554" max="12800" width="8.7265625" style="32"/>
    <col min="12801" max="12801" width="22.81640625" style="32" customWidth="1"/>
    <col min="12802" max="12802" width="13" style="32" customWidth="1"/>
    <col min="12803" max="12803" width="14.1796875" style="32" bestFit="1" customWidth="1"/>
    <col min="12804" max="12805" width="10.90625" style="32" bestFit="1" customWidth="1"/>
    <col min="12806" max="12806" width="14.1796875" style="32" bestFit="1" customWidth="1"/>
    <col min="12807" max="12807" width="13.90625" style="32" customWidth="1"/>
    <col min="12808" max="12809" width="13" style="32" bestFit="1" customWidth="1"/>
    <col min="12810" max="13056" width="8.7265625" style="32"/>
    <col min="13057" max="13057" width="22.81640625" style="32" customWidth="1"/>
    <col min="13058" max="13058" width="13" style="32" customWidth="1"/>
    <col min="13059" max="13059" width="14.1796875" style="32" bestFit="1" customWidth="1"/>
    <col min="13060" max="13061" width="10.90625" style="32" bestFit="1" customWidth="1"/>
    <col min="13062" max="13062" width="14.1796875" style="32" bestFit="1" customWidth="1"/>
    <col min="13063" max="13063" width="13.90625" style="32" customWidth="1"/>
    <col min="13064" max="13065" width="13" style="32" bestFit="1" customWidth="1"/>
    <col min="13066" max="13312" width="8.7265625" style="32"/>
    <col min="13313" max="13313" width="22.81640625" style="32" customWidth="1"/>
    <col min="13314" max="13314" width="13" style="32" customWidth="1"/>
    <col min="13315" max="13315" width="14.1796875" style="32" bestFit="1" customWidth="1"/>
    <col min="13316" max="13317" width="10.90625" style="32" bestFit="1" customWidth="1"/>
    <col min="13318" max="13318" width="14.1796875" style="32" bestFit="1" customWidth="1"/>
    <col min="13319" max="13319" width="13.90625" style="32" customWidth="1"/>
    <col min="13320" max="13321" width="13" style="32" bestFit="1" customWidth="1"/>
    <col min="13322" max="13568" width="8.7265625" style="32"/>
    <col min="13569" max="13569" width="22.81640625" style="32" customWidth="1"/>
    <col min="13570" max="13570" width="13" style="32" customWidth="1"/>
    <col min="13571" max="13571" width="14.1796875" style="32" bestFit="1" customWidth="1"/>
    <col min="13572" max="13573" width="10.90625" style="32" bestFit="1" customWidth="1"/>
    <col min="13574" max="13574" width="14.1796875" style="32" bestFit="1" customWidth="1"/>
    <col min="13575" max="13575" width="13.90625" style="32" customWidth="1"/>
    <col min="13576" max="13577" width="13" style="32" bestFit="1" customWidth="1"/>
    <col min="13578" max="13824" width="8.7265625" style="32"/>
    <col min="13825" max="13825" width="22.81640625" style="32" customWidth="1"/>
    <col min="13826" max="13826" width="13" style="32" customWidth="1"/>
    <col min="13827" max="13827" width="14.1796875" style="32" bestFit="1" customWidth="1"/>
    <col min="13828" max="13829" width="10.90625" style="32" bestFit="1" customWidth="1"/>
    <col min="13830" max="13830" width="14.1796875" style="32" bestFit="1" customWidth="1"/>
    <col min="13831" max="13831" width="13.90625" style="32" customWidth="1"/>
    <col min="13832" max="13833" width="13" style="32" bestFit="1" customWidth="1"/>
    <col min="13834" max="14080" width="8.7265625" style="32"/>
    <col min="14081" max="14081" width="22.81640625" style="32" customWidth="1"/>
    <col min="14082" max="14082" width="13" style="32" customWidth="1"/>
    <col min="14083" max="14083" width="14.1796875" style="32" bestFit="1" customWidth="1"/>
    <col min="14084" max="14085" width="10.90625" style="32" bestFit="1" customWidth="1"/>
    <col min="14086" max="14086" width="14.1796875" style="32" bestFit="1" customWidth="1"/>
    <col min="14087" max="14087" width="13.90625" style="32" customWidth="1"/>
    <col min="14088" max="14089" width="13" style="32" bestFit="1" customWidth="1"/>
    <col min="14090" max="14336" width="8.7265625" style="32"/>
    <col min="14337" max="14337" width="22.81640625" style="32" customWidth="1"/>
    <col min="14338" max="14338" width="13" style="32" customWidth="1"/>
    <col min="14339" max="14339" width="14.1796875" style="32" bestFit="1" customWidth="1"/>
    <col min="14340" max="14341" width="10.90625" style="32" bestFit="1" customWidth="1"/>
    <col min="14342" max="14342" width="14.1796875" style="32" bestFit="1" customWidth="1"/>
    <col min="14343" max="14343" width="13.90625" style="32" customWidth="1"/>
    <col min="14344" max="14345" width="13" style="32" bestFit="1" customWidth="1"/>
    <col min="14346" max="14592" width="8.7265625" style="32"/>
    <col min="14593" max="14593" width="22.81640625" style="32" customWidth="1"/>
    <col min="14594" max="14594" width="13" style="32" customWidth="1"/>
    <col min="14595" max="14595" width="14.1796875" style="32" bestFit="1" customWidth="1"/>
    <col min="14596" max="14597" width="10.90625" style="32" bestFit="1" customWidth="1"/>
    <col min="14598" max="14598" width="14.1796875" style="32" bestFit="1" customWidth="1"/>
    <col min="14599" max="14599" width="13.90625" style="32" customWidth="1"/>
    <col min="14600" max="14601" width="13" style="32" bestFit="1" customWidth="1"/>
    <col min="14602" max="14848" width="8.7265625" style="32"/>
    <col min="14849" max="14849" width="22.81640625" style="32" customWidth="1"/>
    <col min="14850" max="14850" width="13" style="32" customWidth="1"/>
    <col min="14851" max="14851" width="14.1796875" style="32" bestFit="1" customWidth="1"/>
    <col min="14852" max="14853" width="10.90625" style="32" bestFit="1" customWidth="1"/>
    <col min="14854" max="14854" width="14.1796875" style="32" bestFit="1" customWidth="1"/>
    <col min="14855" max="14855" width="13.90625" style="32" customWidth="1"/>
    <col min="14856" max="14857" width="13" style="32" bestFit="1" customWidth="1"/>
    <col min="14858" max="15104" width="8.7265625" style="32"/>
    <col min="15105" max="15105" width="22.81640625" style="32" customWidth="1"/>
    <col min="15106" max="15106" width="13" style="32" customWidth="1"/>
    <col min="15107" max="15107" width="14.1796875" style="32" bestFit="1" customWidth="1"/>
    <col min="15108" max="15109" width="10.90625" style="32" bestFit="1" customWidth="1"/>
    <col min="15110" max="15110" width="14.1796875" style="32" bestFit="1" customWidth="1"/>
    <col min="15111" max="15111" width="13.90625" style="32" customWidth="1"/>
    <col min="15112" max="15113" width="13" style="32" bestFit="1" customWidth="1"/>
    <col min="15114" max="15360" width="8.7265625" style="32"/>
    <col min="15361" max="15361" width="22.81640625" style="32" customWidth="1"/>
    <col min="15362" max="15362" width="13" style="32" customWidth="1"/>
    <col min="15363" max="15363" width="14.1796875" style="32" bestFit="1" customWidth="1"/>
    <col min="15364" max="15365" width="10.90625" style="32" bestFit="1" customWidth="1"/>
    <col min="15366" max="15366" width="14.1796875" style="32" bestFit="1" customWidth="1"/>
    <col min="15367" max="15367" width="13.90625" style="32" customWidth="1"/>
    <col min="15368" max="15369" width="13" style="32" bestFit="1" customWidth="1"/>
    <col min="15370" max="15616" width="8.7265625" style="32"/>
    <col min="15617" max="15617" width="22.81640625" style="32" customWidth="1"/>
    <col min="15618" max="15618" width="13" style="32" customWidth="1"/>
    <col min="15619" max="15619" width="14.1796875" style="32" bestFit="1" customWidth="1"/>
    <col min="15620" max="15621" width="10.90625" style="32" bestFit="1" customWidth="1"/>
    <col min="15622" max="15622" width="14.1796875" style="32" bestFit="1" customWidth="1"/>
    <col min="15623" max="15623" width="13.90625" style="32" customWidth="1"/>
    <col min="15624" max="15625" width="13" style="32" bestFit="1" customWidth="1"/>
    <col min="15626" max="15872" width="8.7265625" style="32"/>
    <col min="15873" max="15873" width="22.81640625" style="32" customWidth="1"/>
    <col min="15874" max="15874" width="13" style="32" customWidth="1"/>
    <col min="15875" max="15875" width="14.1796875" style="32" bestFit="1" customWidth="1"/>
    <col min="15876" max="15877" width="10.90625" style="32" bestFit="1" customWidth="1"/>
    <col min="15878" max="15878" width="14.1796875" style="32" bestFit="1" customWidth="1"/>
    <col min="15879" max="15879" width="13.90625" style="32" customWidth="1"/>
    <col min="15880" max="15881" width="13" style="32" bestFit="1" customWidth="1"/>
    <col min="15882" max="16128" width="8.7265625" style="32"/>
    <col min="16129" max="16129" width="22.81640625" style="32" customWidth="1"/>
    <col min="16130" max="16130" width="13" style="32" customWidth="1"/>
    <col min="16131" max="16131" width="14.1796875" style="32" bestFit="1" customWidth="1"/>
    <col min="16132" max="16133" width="10.90625" style="32" bestFit="1" customWidth="1"/>
    <col min="16134" max="16134" width="14.1796875" style="32" bestFit="1" customWidth="1"/>
    <col min="16135" max="16135" width="13.90625" style="32" customWidth="1"/>
    <col min="16136" max="16137" width="13" style="32" bestFit="1" customWidth="1"/>
    <col min="16138" max="16384" width="8.7265625" style="32"/>
  </cols>
  <sheetData>
    <row r="1" spans="1:10" ht="13" x14ac:dyDescent="0.3">
      <c r="A1" s="24" t="s">
        <v>121</v>
      </c>
      <c r="B1" s="24"/>
      <c r="C1" s="41">
        <v>45291</v>
      </c>
    </row>
    <row r="2" spans="1:10" ht="13" x14ac:dyDescent="0.3">
      <c r="A2" s="24" t="s">
        <v>130</v>
      </c>
      <c r="C2" s="33">
        <v>0.2</v>
      </c>
    </row>
    <row r="4" spans="1:10" ht="26" x14ac:dyDescent="0.3">
      <c r="A4" s="31" t="s">
        <v>123</v>
      </c>
      <c r="B4" s="31" t="s">
        <v>16</v>
      </c>
      <c r="C4" s="31" t="s">
        <v>124</v>
      </c>
      <c r="D4" s="31" t="s">
        <v>125</v>
      </c>
      <c r="E4" s="31" t="s">
        <v>122</v>
      </c>
      <c r="F4" s="31" t="s">
        <v>126</v>
      </c>
      <c r="G4" s="31" t="s">
        <v>132</v>
      </c>
      <c r="H4" s="31" t="s">
        <v>127</v>
      </c>
      <c r="I4" s="31" t="s">
        <v>131</v>
      </c>
      <c r="J4" s="32" t="s">
        <v>129</v>
      </c>
    </row>
    <row r="5" spans="1:10" x14ac:dyDescent="0.25">
      <c r="A5" s="32" t="s">
        <v>134</v>
      </c>
      <c r="B5" s="34">
        <v>500000</v>
      </c>
      <c r="C5" s="35">
        <v>44927</v>
      </c>
      <c r="D5" s="36">
        <v>0.08</v>
      </c>
      <c r="E5" s="36">
        <f t="shared" ref="E5:E9" si="0">C$2</f>
        <v>0.2</v>
      </c>
      <c r="F5" s="32">
        <f>DAYS360(C5,$C$1)</f>
        <v>360</v>
      </c>
      <c r="G5" s="34">
        <f>B5*D5*(F5/365)</f>
        <v>39452.054794520547</v>
      </c>
      <c r="H5" s="37">
        <f t="shared" ref="H5:H9" si="1">B5+G5</f>
        <v>539452.05479452061</v>
      </c>
      <c r="I5" s="34">
        <f t="shared" ref="I5:I9" si="2">H5/(1-E5)</f>
        <v>674315.06849315076</v>
      </c>
    </row>
    <row r="6" spans="1:10" x14ac:dyDescent="0.25">
      <c r="A6" s="32" t="s">
        <v>135</v>
      </c>
      <c r="B6" s="34">
        <v>50000</v>
      </c>
      <c r="C6" s="35">
        <v>44927</v>
      </c>
      <c r="D6" s="36">
        <v>0.08</v>
      </c>
      <c r="E6" s="36">
        <f t="shared" si="0"/>
        <v>0.2</v>
      </c>
      <c r="F6" s="32">
        <f t="shared" ref="F5:F9" si="3">DAYS360(C6,$C$1)</f>
        <v>360</v>
      </c>
      <c r="G6" s="34">
        <f>B6*D6*(F6/365)</f>
        <v>3945.2054794520545</v>
      </c>
      <c r="H6" s="37">
        <f t="shared" si="1"/>
        <v>53945.205479452052</v>
      </c>
      <c r="I6" s="34">
        <f t="shared" si="2"/>
        <v>67431.506849315061</v>
      </c>
    </row>
    <row r="7" spans="1:10" x14ac:dyDescent="0.25">
      <c r="A7" s="32" t="s">
        <v>136</v>
      </c>
      <c r="B7" s="34">
        <v>75000</v>
      </c>
      <c r="C7" s="35">
        <v>44927</v>
      </c>
      <c r="D7" s="36">
        <v>0.08</v>
      </c>
      <c r="E7" s="36">
        <f t="shared" si="0"/>
        <v>0.2</v>
      </c>
      <c r="F7" s="32">
        <f t="shared" si="3"/>
        <v>360</v>
      </c>
      <c r="G7" s="34">
        <f t="shared" ref="G7:G9" si="4">B7*D7*(F7/365)</f>
        <v>5917.8082191780823</v>
      </c>
      <c r="H7" s="37">
        <f t="shared" si="1"/>
        <v>80917.808219178085</v>
      </c>
      <c r="I7" s="34">
        <f t="shared" si="2"/>
        <v>101147.2602739726</v>
      </c>
    </row>
    <row r="8" spans="1:10" x14ac:dyDescent="0.25">
      <c r="A8" s="38" t="s">
        <v>137</v>
      </c>
      <c r="B8" s="34">
        <v>50000</v>
      </c>
      <c r="C8" s="35">
        <v>44927</v>
      </c>
      <c r="D8" s="36">
        <v>0.08</v>
      </c>
      <c r="E8" s="36">
        <f t="shared" si="0"/>
        <v>0.2</v>
      </c>
      <c r="F8" s="32">
        <f t="shared" si="3"/>
        <v>360</v>
      </c>
      <c r="G8" s="34">
        <f t="shared" si="4"/>
        <v>3945.2054794520545</v>
      </c>
      <c r="H8" s="37">
        <f t="shared" si="1"/>
        <v>53945.205479452052</v>
      </c>
      <c r="I8" s="34">
        <f t="shared" si="2"/>
        <v>67431.506849315061</v>
      </c>
    </row>
    <row r="9" spans="1:10" x14ac:dyDescent="0.25">
      <c r="A9" s="32" t="s">
        <v>138</v>
      </c>
      <c r="B9" s="34">
        <v>25000</v>
      </c>
      <c r="C9" s="35">
        <v>44927</v>
      </c>
      <c r="D9" s="36">
        <v>0.08</v>
      </c>
      <c r="E9" s="36">
        <f t="shared" si="0"/>
        <v>0.2</v>
      </c>
      <c r="F9" s="32">
        <f t="shared" si="3"/>
        <v>360</v>
      </c>
      <c r="G9" s="34">
        <f t="shared" si="4"/>
        <v>1972.6027397260273</v>
      </c>
      <c r="H9" s="37">
        <f t="shared" si="1"/>
        <v>26972.602739726026</v>
      </c>
      <c r="I9" s="34">
        <f t="shared" si="2"/>
        <v>33715.753424657531</v>
      </c>
    </row>
    <row r="10" spans="1:10" x14ac:dyDescent="0.25">
      <c r="B10" s="42"/>
      <c r="C10" s="35"/>
      <c r="D10" s="39"/>
      <c r="E10" s="39"/>
    </row>
    <row r="11" spans="1:10" ht="13" x14ac:dyDescent="0.3">
      <c r="A11" s="24" t="s">
        <v>128</v>
      </c>
      <c r="B11" s="43">
        <f>SUM(B5:B9)</f>
        <v>700000</v>
      </c>
      <c r="C11" s="43"/>
      <c r="D11" s="43"/>
      <c r="E11" s="43"/>
      <c r="F11" s="43"/>
      <c r="G11" s="43">
        <f>SUM(G5:G9)</f>
        <v>55232.876712328762</v>
      </c>
      <c r="H11" s="43">
        <f>SUM(H5:H9)</f>
        <v>755232.87671232887</v>
      </c>
      <c r="I11" s="43">
        <f>SUM(I5:I9)</f>
        <v>944041.09589041094</v>
      </c>
    </row>
    <row r="14" spans="1:10" x14ac:dyDescent="0.25">
      <c r="A14" s="4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Conv Debt</vt:lpstr>
      <vt:lpstr>Summary investment</vt:lpstr>
      <vt:lpstr>Cap Model with Waterfall</vt:lpstr>
      <vt:lpstr>Convertible Debt</vt:lpstr>
    </vt:vector>
  </TitlesOfParts>
  <Company>TT Financial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Trometer</dc:creator>
  <cp:lastModifiedBy>Zachary J. Shulman</cp:lastModifiedBy>
  <cp:lastPrinted>2007-03-04T18:36:30Z</cp:lastPrinted>
  <dcterms:created xsi:type="dcterms:W3CDTF">2007-03-04T18:34:32Z</dcterms:created>
  <dcterms:modified xsi:type="dcterms:W3CDTF">2023-09-26T01:34:15Z</dcterms:modified>
</cp:coreProperties>
</file>